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20" windowWidth="11340" windowHeight="5520" tabRatio="945" activeTab="3"/>
  </bookViews>
  <sheets>
    <sheet name="liability-sch FINAL" sheetId="17" r:id="rId1"/>
    <sheet name="assets-sch FINAL" sheetId="16" r:id="rId2"/>
    <sheet name="bs final" sheetId="14" r:id="rId3"/>
    <sheet name="INDEX FINAL" sheetId="18" r:id="rId4"/>
  </sheets>
  <externalReferences>
    <externalReference r:id="rId5"/>
    <externalReference r:id="rId6"/>
    <externalReference r:id="rId7"/>
  </externalReferences>
  <definedNames>
    <definedName name="_xlnm.Print_Area" localSheetId="0">'liability-sch FINAL'!$A$818:$C$825</definedName>
  </definedNames>
  <calcPr calcId="125725"/>
</workbook>
</file>

<file path=xl/calcChain.xml><?xml version="1.0" encoding="utf-8"?>
<calcChain xmlns="http://schemas.openxmlformats.org/spreadsheetml/2006/main">
  <c r="I1149" i="16"/>
  <c r="C1253"/>
  <c r="B1253"/>
  <c r="G998" i="17"/>
  <c r="F998"/>
  <c r="E998"/>
  <c r="D998"/>
  <c r="C998"/>
  <c r="B998"/>
  <c r="B1001" s="1"/>
  <c r="H996"/>
  <c r="H995"/>
  <c r="H994"/>
  <c r="H993"/>
  <c r="H992"/>
  <c r="H991"/>
  <c r="H990"/>
  <c r="H989"/>
  <c r="H988"/>
  <c r="H987"/>
  <c r="H998" s="1"/>
  <c r="H1001" s="1"/>
  <c r="F46" i="14"/>
  <c r="F68" s="1"/>
  <c r="F50"/>
  <c r="F66" s="1"/>
  <c r="E46"/>
  <c r="F16"/>
  <c r="E16"/>
  <c r="F344" i="17"/>
  <c r="F336"/>
  <c r="F327"/>
  <c r="F319"/>
  <c r="C22"/>
  <c r="AI747" i="16"/>
  <c r="AI748"/>
  <c r="AI749"/>
  <c r="AI750"/>
  <c r="AI751"/>
  <c r="R752"/>
  <c r="T752"/>
  <c r="W752"/>
  <c r="X752"/>
  <c r="Y752"/>
  <c r="AB752"/>
  <c r="AC752"/>
  <c r="AD752"/>
  <c r="AE752"/>
  <c r="AG752"/>
  <c r="G706"/>
  <c r="G709"/>
  <c r="G718"/>
  <c r="E663"/>
  <c r="E662"/>
  <c r="E661"/>
  <c r="E660"/>
  <c r="E659"/>
  <c r="E658"/>
  <c r="E657"/>
  <c r="E656"/>
  <c r="C578"/>
  <c r="F331"/>
  <c r="F336"/>
  <c r="F329"/>
  <c r="F328"/>
  <c r="F327"/>
  <c r="F326"/>
  <c r="F325"/>
  <c r="F323"/>
  <c r="F322"/>
  <c r="H1216"/>
  <c r="H1215"/>
  <c r="H1213"/>
  <c r="H1212"/>
  <c r="H1211"/>
  <c r="H1210"/>
  <c r="H1209"/>
  <c r="H1208"/>
  <c r="H1207"/>
  <c r="H1206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C796" i="17"/>
  <c r="B796"/>
  <c r="E606"/>
  <c r="G606" s="1"/>
  <c r="E603"/>
  <c r="C162"/>
  <c r="B158" s="1"/>
  <c r="C154"/>
  <c r="C146"/>
  <c r="B141" s="1"/>
  <c r="C96"/>
  <c r="F54" i="14"/>
  <c r="I279" i="16"/>
  <c r="I294" s="1"/>
  <c r="H279"/>
  <c r="G279"/>
  <c r="G294" s="1"/>
  <c r="D279"/>
  <c r="D294" s="1"/>
  <c r="C279"/>
  <c r="C294" s="1"/>
  <c r="F19" i="14"/>
  <c r="F34" s="1"/>
  <c r="D665" i="16"/>
  <c r="C911" i="17"/>
  <c r="B906" s="1"/>
  <c r="B911" s="1"/>
  <c r="D321" i="16"/>
  <c r="F321" s="1"/>
  <c r="B951" i="17"/>
  <c r="B942"/>
  <c r="B933"/>
  <c r="C349"/>
  <c r="E349"/>
  <c r="D349"/>
  <c r="B349"/>
  <c r="F347"/>
  <c r="F346"/>
  <c r="F345"/>
  <c r="F343"/>
  <c r="F342"/>
  <c r="F341"/>
  <c r="F340"/>
  <c r="F339"/>
  <c r="F338"/>
  <c r="F337"/>
  <c r="B89"/>
  <c r="AI55"/>
  <c r="B333" i="16"/>
  <c r="D36"/>
  <c r="G1214"/>
  <c r="H1161"/>
  <c r="G1164"/>
  <c r="F1164"/>
  <c r="E1164"/>
  <c r="E1217" s="1"/>
  <c r="D1164"/>
  <c r="C1160"/>
  <c r="H1160" s="1"/>
  <c r="B1214"/>
  <c r="B1159"/>
  <c r="H1134"/>
  <c r="H1129"/>
  <c r="H1159"/>
  <c r="H1158"/>
  <c r="H1157"/>
  <c r="H1156"/>
  <c r="H1155"/>
  <c r="H1154"/>
  <c r="H1153"/>
  <c r="H1152"/>
  <c r="H1151"/>
  <c r="H1150"/>
  <c r="H1149"/>
  <c r="H1148"/>
  <c r="H1147"/>
  <c r="H1145"/>
  <c r="H1144"/>
  <c r="H1143"/>
  <c r="H1142"/>
  <c r="H1141"/>
  <c r="H1140"/>
  <c r="H1139"/>
  <c r="H1138"/>
  <c r="H1137"/>
  <c r="H1136"/>
  <c r="H1135"/>
  <c r="H1133"/>
  <c r="H1132"/>
  <c r="H1131"/>
  <c r="H1130"/>
  <c r="H1128"/>
  <c r="H1127"/>
  <c r="H1126"/>
  <c r="H1125"/>
  <c r="H1124"/>
  <c r="H1123"/>
  <c r="H1122"/>
  <c r="H1121"/>
  <c r="H1120"/>
  <c r="H1119"/>
  <c r="H1118"/>
  <c r="H1117"/>
  <c r="H1116"/>
  <c r="F1214"/>
  <c r="D1214"/>
  <c r="C1214"/>
  <c r="C1220"/>
  <c r="B1146"/>
  <c r="H1146" s="1"/>
  <c r="C997"/>
  <c r="V996"/>
  <c r="C996"/>
  <c r="S1011"/>
  <c r="S1100" s="1"/>
  <c r="C984"/>
  <c r="E984"/>
  <c r="R1010"/>
  <c r="R1009"/>
  <c r="R1007"/>
  <c r="R1006"/>
  <c r="R1005"/>
  <c r="R1004"/>
  <c r="R1003"/>
  <c r="R1002"/>
  <c r="R1001"/>
  <c r="R1000"/>
  <c r="R999"/>
  <c r="R998"/>
  <c r="R995"/>
  <c r="R994"/>
  <c r="R991"/>
  <c r="R990"/>
  <c r="R989"/>
  <c r="R988"/>
  <c r="R987"/>
  <c r="R986"/>
  <c r="R982"/>
  <c r="R981"/>
  <c r="R980"/>
  <c r="R979"/>
  <c r="R978"/>
  <c r="R977"/>
  <c r="R976"/>
  <c r="R975"/>
  <c r="R974"/>
  <c r="R973"/>
  <c r="R972"/>
  <c r="R970"/>
  <c r="R968"/>
  <c r="R967"/>
  <c r="R966"/>
  <c r="R965"/>
  <c r="R964"/>
  <c r="R963"/>
  <c r="R962"/>
  <c r="R961"/>
  <c r="R960"/>
  <c r="R959"/>
  <c r="R958"/>
  <c r="R957"/>
  <c r="R956"/>
  <c r="R955"/>
  <c r="R954"/>
  <c r="R952"/>
  <c r="R951"/>
  <c r="R950"/>
  <c r="R949"/>
  <c r="R948"/>
  <c r="R947"/>
  <c r="P1011"/>
  <c r="O1011"/>
  <c r="N1011"/>
  <c r="M1011"/>
  <c r="L1011"/>
  <c r="K1011"/>
  <c r="I1011"/>
  <c r="H1011"/>
  <c r="G1011"/>
  <c r="F1011"/>
  <c r="D1011"/>
  <c r="Q1097"/>
  <c r="P1097"/>
  <c r="O1097"/>
  <c r="N1097"/>
  <c r="M1097"/>
  <c r="L1097"/>
  <c r="L1100" s="1"/>
  <c r="K1097"/>
  <c r="K1100" s="1"/>
  <c r="J1097"/>
  <c r="I1097"/>
  <c r="H1097"/>
  <c r="G1097"/>
  <c r="F1097"/>
  <c r="D1097"/>
  <c r="R1099"/>
  <c r="R1098"/>
  <c r="R1096"/>
  <c r="R1095"/>
  <c r="R1093"/>
  <c r="R1092"/>
  <c r="R1091"/>
  <c r="R1090"/>
  <c r="R1089"/>
  <c r="R1087"/>
  <c r="R1086"/>
  <c r="R1085"/>
  <c r="R1084"/>
  <c r="R1083"/>
  <c r="R1082"/>
  <c r="R1081"/>
  <c r="R1080"/>
  <c r="R1079"/>
  <c r="R1078"/>
  <c r="R1075"/>
  <c r="R1074"/>
  <c r="R1073"/>
  <c r="R1071"/>
  <c r="R1070"/>
  <c r="R1068"/>
  <c r="R1067"/>
  <c r="R1065"/>
  <c r="R1064"/>
  <c r="R1063"/>
  <c r="R1062"/>
  <c r="R1061"/>
  <c r="R1060"/>
  <c r="R1059"/>
  <c r="R1058"/>
  <c r="R1057"/>
  <c r="R1055"/>
  <c r="R1054"/>
  <c r="R1053"/>
  <c r="R1052"/>
  <c r="R1051"/>
  <c r="R1050"/>
  <c r="R1049"/>
  <c r="R1048"/>
  <c r="R1044"/>
  <c r="R1043"/>
  <c r="R1042"/>
  <c r="R1041"/>
  <c r="R1040"/>
  <c r="R1039"/>
  <c r="R1038"/>
  <c r="R1037"/>
  <c r="R1036"/>
  <c r="R1034"/>
  <c r="R1033"/>
  <c r="R1031"/>
  <c r="R1030"/>
  <c r="R1028"/>
  <c r="R1027"/>
  <c r="R1026"/>
  <c r="R1025"/>
  <c r="R1024"/>
  <c r="R1023"/>
  <c r="R1022"/>
  <c r="R1021"/>
  <c r="R1020"/>
  <c r="E1077"/>
  <c r="R1077" s="1"/>
  <c r="E1076"/>
  <c r="R1076" s="1"/>
  <c r="C1069"/>
  <c r="R1069" s="1"/>
  <c r="C1088"/>
  <c r="R1088" s="1"/>
  <c r="B1019"/>
  <c r="R1019" s="1"/>
  <c r="E1094"/>
  <c r="C1094"/>
  <c r="B1094"/>
  <c r="E1056"/>
  <c r="R1056" s="1"/>
  <c r="E1029"/>
  <c r="B1066"/>
  <c r="R1066" s="1"/>
  <c r="B992"/>
  <c r="R992" s="1"/>
  <c r="B971"/>
  <c r="R971" s="1"/>
  <c r="B946"/>
  <c r="R946" s="1"/>
  <c r="B1008"/>
  <c r="R1008" s="1"/>
  <c r="B953"/>
  <c r="B969"/>
  <c r="R969" s="1"/>
  <c r="B1047"/>
  <c r="R1047" s="1"/>
  <c r="E996"/>
  <c r="B996"/>
  <c r="B984"/>
  <c r="E997"/>
  <c r="B997"/>
  <c r="I840" i="17"/>
  <c r="I858" s="1"/>
  <c r="E273" i="16"/>
  <c r="J273" s="1"/>
  <c r="E271"/>
  <c r="J271" s="1"/>
  <c r="E270"/>
  <c r="J270" s="1"/>
  <c r="Z12"/>
  <c r="C12" s="1"/>
  <c r="Y10"/>
  <c r="Y42" s="1"/>
  <c r="V10"/>
  <c r="V42" s="1"/>
  <c r="U10"/>
  <c r="U42" s="1"/>
  <c r="P10"/>
  <c r="P42" s="1"/>
  <c r="X12" i="17"/>
  <c r="W10"/>
  <c r="W42" s="1"/>
  <c r="T10"/>
  <c r="T42" s="1"/>
  <c r="S10"/>
  <c r="S42" s="1"/>
  <c r="N10"/>
  <c r="N42" s="1"/>
  <c r="B561" i="16"/>
  <c r="M10" i="17"/>
  <c r="M42" s="1"/>
  <c r="I10"/>
  <c r="I42" s="1"/>
  <c r="H10"/>
  <c r="H42" s="1"/>
  <c r="AA744" i="16"/>
  <c r="AE772"/>
  <c r="AI772" s="1"/>
  <c r="B752" s="1"/>
  <c r="AH779"/>
  <c r="AG779"/>
  <c r="AF779"/>
  <c r="AD779"/>
  <c r="AC779"/>
  <c r="AA779"/>
  <c r="Z779"/>
  <c r="X779"/>
  <c r="W779"/>
  <c r="V779"/>
  <c r="U779"/>
  <c r="T779"/>
  <c r="S779"/>
  <c r="R779"/>
  <c r="AI771"/>
  <c r="AI769"/>
  <c r="B751"/>
  <c r="B749"/>
  <c r="AB770"/>
  <c r="AB779" s="1"/>
  <c r="G708"/>
  <c r="B1045"/>
  <c r="R1045" s="1"/>
  <c r="B1046"/>
  <c r="R1046" s="1"/>
  <c r="B1032"/>
  <c r="R1032" s="1"/>
  <c r="B983"/>
  <c r="B985"/>
  <c r="R985" s="1"/>
  <c r="B1072"/>
  <c r="R1072" s="1"/>
  <c r="J996"/>
  <c r="J1011" s="1"/>
  <c r="C983"/>
  <c r="R983" s="1"/>
  <c r="Q996"/>
  <c r="Q997"/>
  <c r="C993"/>
  <c r="B993"/>
  <c r="B1035"/>
  <c r="R1035" s="1"/>
  <c r="U1097"/>
  <c r="T1097"/>
  <c r="U1011"/>
  <c r="T1011"/>
  <c r="B67" i="17"/>
  <c r="AB82"/>
  <c r="B78"/>
  <c r="F720" i="16"/>
  <c r="E720"/>
  <c r="G711"/>
  <c r="AH82" i="17"/>
  <c r="B72" s="1"/>
  <c r="AG82"/>
  <c r="B71" s="1"/>
  <c r="AF82"/>
  <c r="B70" s="1"/>
  <c r="AE82"/>
  <c r="B64" s="1"/>
  <c r="AD82"/>
  <c r="B63" s="1"/>
  <c r="AC82"/>
  <c r="B66" s="1"/>
  <c r="Y82"/>
  <c r="B75" s="1"/>
  <c r="X82"/>
  <c r="B74" s="1"/>
  <c r="W82"/>
  <c r="B73" s="1"/>
  <c r="G842" i="16"/>
  <c r="G857"/>
  <c r="G849"/>
  <c r="G837"/>
  <c r="G836"/>
  <c r="G827"/>
  <c r="G825"/>
  <c r="G822"/>
  <c r="G818"/>
  <c r="G817"/>
  <c r="G814"/>
  <c r="G813"/>
  <c r="G802"/>
  <c r="G803"/>
  <c r="E859"/>
  <c r="B465"/>
  <c r="B464"/>
  <c r="B463"/>
  <c r="B457"/>
  <c r="B456"/>
  <c r="B455"/>
  <c r="J301" i="17"/>
  <c r="K254"/>
  <c r="J259"/>
  <c r="J303" s="1"/>
  <c r="F180" i="16"/>
  <c r="B180"/>
  <c r="B279" s="1"/>
  <c r="B294" s="1"/>
  <c r="F62"/>
  <c r="J62" s="1"/>
  <c r="J268"/>
  <c r="F166"/>
  <c r="J166" s="1"/>
  <c r="F105"/>
  <c r="E105"/>
  <c r="F223"/>
  <c r="J223" s="1"/>
  <c r="F134"/>
  <c r="J134" s="1"/>
  <c r="F195"/>
  <c r="J195" s="1"/>
  <c r="F185"/>
  <c r="J185" s="1"/>
  <c r="F164"/>
  <c r="J164" s="1"/>
  <c r="F57"/>
  <c r="J57" s="1"/>
  <c r="F86"/>
  <c r="J86" s="1"/>
  <c r="F77"/>
  <c r="E77"/>
  <c r="J68"/>
  <c r="F190"/>
  <c r="J190" s="1"/>
  <c r="J272"/>
  <c r="J247"/>
  <c r="J269"/>
  <c r="F198"/>
  <c r="J198" s="1"/>
  <c r="F76"/>
  <c r="E76"/>
  <c r="B440"/>
  <c r="B441" s="1"/>
  <c r="B433"/>
  <c r="B435" s="1"/>
  <c r="B427"/>
  <c r="B429" s="1"/>
  <c r="B790" i="17"/>
  <c r="B791" s="1"/>
  <c r="B784"/>
  <c r="B786" s="1"/>
  <c r="B779"/>
  <c r="B781" s="1"/>
  <c r="F747"/>
  <c r="E605"/>
  <c r="G605" s="1"/>
  <c r="E594"/>
  <c r="G594" s="1"/>
  <c r="E511"/>
  <c r="G511" s="1"/>
  <c r="E494"/>
  <c r="G494" s="1"/>
  <c r="E487"/>
  <c r="G487" s="1"/>
  <c r="E482"/>
  <c r="G482" s="1"/>
  <c r="E643"/>
  <c r="G643" s="1"/>
  <c r="E679"/>
  <c r="G679" s="1"/>
  <c r="G680" s="1"/>
  <c r="G742" s="1"/>
  <c r="F680"/>
  <c r="F742" s="1"/>
  <c r="D680"/>
  <c r="D742" s="1"/>
  <c r="C680"/>
  <c r="B680"/>
  <c r="B676"/>
  <c r="B759" s="1"/>
  <c r="E571"/>
  <c r="G571" s="1"/>
  <c r="E642"/>
  <c r="G642" s="1"/>
  <c r="E631"/>
  <c r="G631" s="1"/>
  <c r="E584"/>
  <c r="G584" s="1"/>
  <c r="E555"/>
  <c r="G555" s="1"/>
  <c r="E502"/>
  <c r="G502" s="1"/>
  <c r="E569"/>
  <c r="G569" s="1"/>
  <c r="E503"/>
  <c r="G503" s="1"/>
  <c r="E553"/>
  <c r="G553" s="1"/>
  <c r="E466"/>
  <c r="G466" s="1"/>
  <c r="Y586" i="16"/>
  <c r="Y592" s="1"/>
  <c r="AA142" i="17"/>
  <c r="W744" i="16"/>
  <c r="Y767"/>
  <c r="Y779" s="1"/>
  <c r="AI743"/>
  <c r="AI742"/>
  <c r="AI741"/>
  <c r="AI740"/>
  <c r="AI737"/>
  <c r="B736" s="1"/>
  <c r="C743"/>
  <c r="AH744"/>
  <c r="AG744"/>
  <c r="AF744"/>
  <c r="AE744"/>
  <c r="AC744"/>
  <c r="Z744"/>
  <c r="Y744"/>
  <c r="X744"/>
  <c r="V744"/>
  <c r="U744"/>
  <c r="T744"/>
  <c r="S744"/>
  <c r="R744"/>
  <c r="AD738"/>
  <c r="AD744" s="1"/>
  <c r="AB739"/>
  <c r="AI739" s="1"/>
  <c r="AB738"/>
  <c r="Y144" i="17"/>
  <c r="Y147"/>
  <c r="X149"/>
  <c r="X229" s="1"/>
  <c r="X231" s="1"/>
  <c r="AM145"/>
  <c r="B144" s="1"/>
  <c r="Z149"/>
  <c r="AI147"/>
  <c r="AI144"/>
  <c r="P147"/>
  <c r="P144"/>
  <c r="R149"/>
  <c r="S58"/>
  <c r="AI60"/>
  <c r="AI74"/>
  <c r="AI73"/>
  <c r="AI68"/>
  <c r="AI67"/>
  <c r="AI66"/>
  <c r="AI65"/>
  <c r="AI64"/>
  <c r="AI63"/>
  <c r="AI61"/>
  <c r="AI59"/>
  <c r="AI58"/>
  <c r="AI57"/>
  <c r="AI56"/>
  <c r="AI54"/>
  <c r="AI53"/>
  <c r="AI62"/>
  <c r="R858"/>
  <c r="Q858"/>
  <c r="P858"/>
  <c r="O858"/>
  <c r="N858"/>
  <c r="M858"/>
  <c r="L858"/>
  <c r="K858"/>
  <c r="J858"/>
  <c r="G858"/>
  <c r="F858"/>
  <c r="E858"/>
  <c r="D858"/>
  <c r="C858"/>
  <c r="B858"/>
  <c r="T852"/>
  <c r="T850"/>
  <c r="T848"/>
  <c r="T844"/>
  <c r="T842"/>
  <c r="H899" i="16"/>
  <c r="K253" i="17"/>
  <c r="K294"/>
  <c r="K251"/>
  <c r="K293"/>
  <c r="K290"/>
  <c r="K270"/>
  <c r="K275"/>
  <c r="E279"/>
  <c r="K296"/>
  <c r="K287"/>
  <c r="K267"/>
  <c r="K272"/>
  <c r="K292"/>
  <c r="K250"/>
  <c r="X36"/>
  <c r="X8"/>
  <c r="B8" s="1"/>
  <c r="X38"/>
  <c r="C878" i="16"/>
  <c r="B874" s="1"/>
  <c r="B878" s="1"/>
  <c r="G853"/>
  <c r="G824"/>
  <c r="G852"/>
  <c r="D821"/>
  <c r="G821" s="1"/>
  <c r="G823"/>
  <c r="G850"/>
  <c r="D826"/>
  <c r="G826" s="1"/>
  <c r="G854"/>
  <c r="G710"/>
  <c r="H502"/>
  <c r="H501"/>
  <c r="F502"/>
  <c r="F501"/>
  <c r="L510"/>
  <c r="L502"/>
  <c r="L501"/>
  <c r="B448"/>
  <c r="B398"/>
  <c r="B402" s="1"/>
  <c r="Z36"/>
  <c r="C30" s="1"/>
  <c r="Z38"/>
  <c r="C32" s="1"/>
  <c r="L42"/>
  <c r="Z8"/>
  <c r="C8" s="1"/>
  <c r="E51" i="14"/>
  <c r="C896" i="17"/>
  <c r="B892" s="1"/>
  <c r="B896" s="1"/>
  <c r="C809"/>
  <c r="C803"/>
  <c r="B747"/>
  <c r="B722"/>
  <c r="C175"/>
  <c r="B171" s="1"/>
  <c r="B632" i="16"/>
  <c r="P533"/>
  <c r="P522"/>
  <c r="P515"/>
  <c r="P497"/>
  <c r="P487"/>
  <c r="O485" s="1"/>
  <c r="C467"/>
  <c r="C459"/>
  <c r="C448"/>
  <c r="C441"/>
  <c r="C435"/>
  <c r="C429"/>
  <c r="B338"/>
  <c r="J289"/>
  <c r="J282"/>
  <c r="H926"/>
  <c r="H923"/>
  <c r="H922"/>
  <c r="H921"/>
  <c r="H917"/>
  <c r="H914"/>
  <c r="H913"/>
  <c r="H910"/>
  <c r="H909"/>
  <c r="H905"/>
  <c r="H904"/>
  <c r="H900"/>
  <c r="H898"/>
  <c r="H895"/>
  <c r="H894"/>
  <c r="H893"/>
  <c r="V884"/>
  <c r="V885" s="1"/>
  <c r="W883"/>
  <c r="W882"/>
  <c r="F859"/>
  <c r="B859"/>
  <c r="G851"/>
  <c r="G846"/>
  <c r="G843"/>
  <c r="G841"/>
  <c r="G833"/>
  <c r="G830"/>
  <c r="C859"/>
  <c r="G812"/>
  <c r="G809"/>
  <c r="G806"/>
  <c r="G801"/>
  <c r="AH782"/>
  <c r="C758"/>
  <c r="C760" s="1"/>
  <c r="AI778"/>
  <c r="AI777"/>
  <c r="B757" s="1"/>
  <c r="AI776"/>
  <c r="B756" s="1"/>
  <c r="AI775"/>
  <c r="B755" s="1"/>
  <c r="AI774"/>
  <c r="B754" s="1"/>
  <c r="AI773"/>
  <c r="B753" s="1"/>
  <c r="AI770"/>
  <c r="B750" s="1"/>
  <c r="AI768"/>
  <c r="B748" s="1"/>
  <c r="AI767"/>
  <c r="B747" s="1"/>
  <c r="AI765"/>
  <c r="X782"/>
  <c r="W782"/>
  <c r="R782"/>
  <c r="B740"/>
  <c r="B739"/>
  <c r="AC782"/>
  <c r="D720"/>
  <c r="C720"/>
  <c r="G716"/>
  <c r="G707"/>
  <c r="B683"/>
  <c r="C680"/>
  <c r="C677"/>
  <c r="C665"/>
  <c r="B635"/>
  <c r="B637" s="1"/>
  <c r="T618"/>
  <c r="AC617"/>
  <c r="AB608"/>
  <c r="AK686" s="1"/>
  <c r="AA608"/>
  <c r="AJ686" s="1"/>
  <c r="Z608"/>
  <c r="AI686" s="1"/>
  <c r="Y608"/>
  <c r="AH686" s="1"/>
  <c r="X608"/>
  <c r="AG686" s="1"/>
  <c r="W608"/>
  <c r="AE686" s="1"/>
  <c r="V608"/>
  <c r="AD686" s="1"/>
  <c r="U608"/>
  <c r="AC686" s="1"/>
  <c r="S608"/>
  <c r="AA686" s="1"/>
  <c r="K608"/>
  <c r="Y686" s="1"/>
  <c r="I608"/>
  <c r="X686" s="1"/>
  <c r="E608"/>
  <c r="V686" s="1"/>
  <c r="AC607"/>
  <c r="B575" s="1"/>
  <c r="AC606"/>
  <c r="B574" s="1"/>
  <c r="AC604"/>
  <c r="B573" s="1"/>
  <c r="AB600"/>
  <c r="AA600"/>
  <c r="Z600"/>
  <c r="Y600"/>
  <c r="X600"/>
  <c r="W600"/>
  <c r="V600"/>
  <c r="U600"/>
  <c r="S600"/>
  <c r="K600"/>
  <c r="I600"/>
  <c r="E600"/>
  <c r="AC598"/>
  <c r="B569" s="1"/>
  <c r="AC597"/>
  <c r="B568" s="1"/>
  <c r="AC596"/>
  <c r="B567" s="1"/>
  <c r="AB592"/>
  <c r="AA592"/>
  <c r="Z592"/>
  <c r="X592"/>
  <c r="W592"/>
  <c r="V592"/>
  <c r="U592"/>
  <c r="S592"/>
  <c r="K592"/>
  <c r="I592"/>
  <c r="E592"/>
  <c r="AC590"/>
  <c r="AC588"/>
  <c r="AB582"/>
  <c r="AA582"/>
  <c r="Z582"/>
  <c r="Y582"/>
  <c r="X582"/>
  <c r="W582"/>
  <c r="V582"/>
  <c r="U582"/>
  <c r="S582"/>
  <c r="K582"/>
  <c r="I582"/>
  <c r="E582"/>
  <c r="AC580"/>
  <c r="AC576"/>
  <c r="AC574"/>
  <c r="B557" s="1"/>
  <c r="AB570"/>
  <c r="AA570"/>
  <c r="Z570"/>
  <c r="Y570"/>
  <c r="X570"/>
  <c r="W570"/>
  <c r="V570"/>
  <c r="U570"/>
  <c r="S570"/>
  <c r="K570"/>
  <c r="I570"/>
  <c r="E570"/>
  <c r="AC567"/>
  <c r="AC566"/>
  <c r="AC564"/>
  <c r="B553" s="1"/>
  <c r="AB560"/>
  <c r="AA560"/>
  <c r="Z560"/>
  <c r="Y560"/>
  <c r="X560"/>
  <c r="W560"/>
  <c r="V560"/>
  <c r="U560"/>
  <c r="S560"/>
  <c r="K560"/>
  <c r="I560"/>
  <c r="E560"/>
  <c r="AC558"/>
  <c r="AC557"/>
  <c r="AC555"/>
  <c r="AC553"/>
  <c r="I533"/>
  <c r="H533"/>
  <c r="G533"/>
  <c r="N533"/>
  <c r="D533"/>
  <c r="B533"/>
  <c r="E522"/>
  <c r="D522"/>
  <c r="C522"/>
  <c r="M515"/>
  <c r="M535" s="1"/>
  <c r="K515"/>
  <c r="J515"/>
  <c r="G515"/>
  <c r="N515"/>
  <c r="E515"/>
  <c r="D515"/>
  <c r="C515"/>
  <c r="AJ502"/>
  <c r="I515"/>
  <c r="B515"/>
  <c r="L497"/>
  <c r="K497"/>
  <c r="J497"/>
  <c r="I497"/>
  <c r="H497"/>
  <c r="G497"/>
  <c r="N497"/>
  <c r="E497"/>
  <c r="D497"/>
  <c r="C497"/>
  <c r="B497"/>
  <c r="J487"/>
  <c r="I487"/>
  <c r="G487"/>
  <c r="E487"/>
  <c r="D487"/>
  <c r="C487"/>
  <c r="E333"/>
  <c r="E338" s="1"/>
  <c r="C330"/>
  <c r="F330" s="1"/>
  <c r="D324"/>
  <c r="F324" s="1"/>
  <c r="C398"/>
  <c r="C402" s="1"/>
  <c r="J292"/>
  <c r="J291"/>
  <c r="J290"/>
  <c r="J288"/>
  <c r="J287"/>
  <c r="J286"/>
  <c r="J285"/>
  <c r="J284"/>
  <c r="J283"/>
  <c r="H294"/>
  <c r="J277"/>
  <c r="J274"/>
  <c r="J267"/>
  <c r="J266"/>
  <c r="J262"/>
  <c r="J259"/>
  <c r="J256"/>
  <c r="J253"/>
  <c r="J252"/>
  <c r="J251"/>
  <c r="J250"/>
  <c r="J246"/>
  <c r="J243"/>
  <c r="J240"/>
  <c r="J237"/>
  <c r="J234"/>
  <c r="J233"/>
  <c r="J232"/>
  <c r="J231"/>
  <c r="J230"/>
  <c r="J229"/>
  <c r="J228"/>
  <c r="J227"/>
  <c r="J226"/>
  <c r="J225"/>
  <c r="J224"/>
  <c r="J222"/>
  <c r="J221"/>
  <c r="J218"/>
  <c r="J217"/>
  <c r="J216"/>
  <c r="J215"/>
  <c r="J214"/>
  <c r="J213"/>
  <c r="J212"/>
  <c r="J211"/>
  <c r="J210"/>
  <c r="J140"/>
  <c r="J139"/>
  <c r="J138"/>
  <c r="J137"/>
  <c r="J136"/>
  <c r="J135"/>
  <c r="J133"/>
  <c r="J72"/>
  <c r="J71"/>
  <c r="J70"/>
  <c r="J69"/>
  <c r="J67"/>
  <c r="J66"/>
  <c r="J204"/>
  <c r="J203"/>
  <c r="J202"/>
  <c r="J201"/>
  <c r="J200"/>
  <c r="J199"/>
  <c r="J197"/>
  <c r="J196"/>
  <c r="J194"/>
  <c r="J193"/>
  <c r="J85"/>
  <c r="J84"/>
  <c r="J83"/>
  <c r="J82"/>
  <c r="J81"/>
  <c r="J80"/>
  <c r="J79"/>
  <c r="J78"/>
  <c r="J75"/>
  <c r="J189"/>
  <c r="J188"/>
  <c r="J187"/>
  <c r="J186"/>
  <c r="J184"/>
  <c r="J183"/>
  <c r="J148"/>
  <c r="J147"/>
  <c r="J146"/>
  <c r="J145"/>
  <c r="J144"/>
  <c r="J143"/>
  <c r="J63"/>
  <c r="J61"/>
  <c r="J60"/>
  <c r="J59"/>
  <c r="J58"/>
  <c r="J56"/>
  <c r="J177"/>
  <c r="J176"/>
  <c r="J175"/>
  <c r="J172"/>
  <c r="J171"/>
  <c r="J170"/>
  <c r="J169"/>
  <c r="J168"/>
  <c r="J167"/>
  <c r="J165"/>
  <c r="J163"/>
  <c r="J162"/>
  <c r="J159"/>
  <c r="J102"/>
  <c r="J101"/>
  <c r="J100"/>
  <c r="J99"/>
  <c r="J98"/>
  <c r="J97"/>
  <c r="J96"/>
  <c r="J95"/>
  <c r="J94"/>
  <c r="J93"/>
  <c r="J92"/>
  <c r="J155"/>
  <c r="J154"/>
  <c r="J153"/>
  <c r="J152"/>
  <c r="J151"/>
  <c r="J130"/>
  <c r="J129"/>
  <c r="J128"/>
  <c r="J127"/>
  <c r="J126"/>
  <c r="J125"/>
  <c r="J124"/>
  <c r="J123"/>
  <c r="J120"/>
  <c r="J119"/>
  <c r="J118"/>
  <c r="J117"/>
  <c r="J114"/>
  <c r="J113"/>
  <c r="J112"/>
  <c r="J111"/>
  <c r="J110"/>
  <c r="J109"/>
  <c r="J108"/>
  <c r="J89"/>
  <c r="X42"/>
  <c r="W42"/>
  <c r="T42"/>
  <c r="O42"/>
  <c r="M42"/>
  <c r="K42"/>
  <c r="J42"/>
  <c r="I42"/>
  <c r="Z40"/>
  <c r="C34" s="1"/>
  <c r="Z34"/>
  <c r="C28" s="1"/>
  <c r="Z32"/>
  <c r="C26" s="1"/>
  <c r="Z30"/>
  <c r="Z28"/>
  <c r="C24" s="1"/>
  <c r="Z26"/>
  <c r="Z24"/>
  <c r="C22" s="1"/>
  <c r="Z22"/>
  <c r="C20" s="1"/>
  <c r="Z20"/>
  <c r="C18" s="1"/>
  <c r="Z18"/>
  <c r="Z16"/>
  <c r="C16" s="1"/>
  <c r="Z14"/>
  <c r="C14" s="1"/>
  <c r="S42"/>
  <c r="N42"/>
  <c r="Z1094" i="17"/>
  <c r="V1094"/>
  <c r="AA1092"/>
  <c r="AA1091"/>
  <c r="AA1089"/>
  <c r="Z1085"/>
  <c r="V1085"/>
  <c r="AA1083"/>
  <c r="AA1082"/>
  <c r="AA1080"/>
  <c r="Z1076"/>
  <c r="V1076"/>
  <c r="AA1074"/>
  <c r="AA1073"/>
  <c r="AA1071"/>
  <c r="U858"/>
  <c r="T834"/>
  <c r="C825"/>
  <c r="B823" s="1"/>
  <c r="B825" s="1"/>
  <c r="B809"/>
  <c r="B803"/>
  <c r="C791"/>
  <c r="C786"/>
  <c r="C781"/>
  <c r="C107"/>
  <c r="F676"/>
  <c r="F759" s="1"/>
  <c r="D676"/>
  <c r="D759" s="1"/>
  <c r="C676"/>
  <c r="C759" s="1"/>
  <c r="E675"/>
  <c r="G675" s="1"/>
  <c r="F672"/>
  <c r="F765" s="1"/>
  <c r="D672"/>
  <c r="D765" s="1"/>
  <c r="C672"/>
  <c r="C765" s="1"/>
  <c r="B672"/>
  <c r="B765" s="1"/>
  <c r="E671"/>
  <c r="G671" s="1"/>
  <c r="E670"/>
  <c r="F667"/>
  <c r="F764" s="1"/>
  <c r="D667"/>
  <c r="D764" s="1"/>
  <c r="C667"/>
  <c r="C764" s="1"/>
  <c r="B667"/>
  <c r="B764" s="1"/>
  <c r="E666"/>
  <c r="G666" s="1"/>
  <c r="E665"/>
  <c r="G665" s="1"/>
  <c r="D662"/>
  <c r="D763" s="1"/>
  <c r="C662"/>
  <c r="C763" s="1"/>
  <c r="B662"/>
  <c r="B763" s="1"/>
  <c r="E661"/>
  <c r="G661" s="1"/>
  <c r="F662"/>
  <c r="F763" s="1"/>
  <c r="E660"/>
  <c r="F657"/>
  <c r="F758" s="1"/>
  <c r="D657"/>
  <c r="D758" s="1"/>
  <c r="C657"/>
  <c r="C758" s="1"/>
  <c r="B657"/>
  <c r="B758" s="1"/>
  <c r="E656"/>
  <c r="G656" s="1"/>
  <c r="F653"/>
  <c r="F754" s="1"/>
  <c r="D653"/>
  <c r="D754" s="1"/>
  <c r="C653"/>
  <c r="C754" s="1"/>
  <c r="B653"/>
  <c r="B754" s="1"/>
  <c r="E652"/>
  <c r="G652" s="1"/>
  <c r="E651"/>
  <c r="G651" s="1"/>
  <c r="E650"/>
  <c r="G650" s="1"/>
  <c r="E649"/>
  <c r="G649" s="1"/>
  <c r="F646"/>
  <c r="F753" s="1"/>
  <c r="D646"/>
  <c r="D753" s="1"/>
  <c r="C646"/>
  <c r="C753" s="1"/>
  <c r="B646"/>
  <c r="B753" s="1"/>
  <c r="E645"/>
  <c r="G645" s="1"/>
  <c r="E644"/>
  <c r="G644" s="1"/>
  <c r="E641"/>
  <c r="G641" s="1"/>
  <c r="E640"/>
  <c r="G640" s="1"/>
  <c r="D637"/>
  <c r="D752" s="1"/>
  <c r="C637"/>
  <c r="C752" s="1"/>
  <c r="B637"/>
  <c r="B752" s="1"/>
  <c r="E636"/>
  <c r="G636" s="1"/>
  <c r="E635"/>
  <c r="G635" s="1"/>
  <c r="E634"/>
  <c r="G634" s="1"/>
  <c r="E633"/>
  <c r="G633" s="1"/>
  <c r="E632"/>
  <c r="G632" s="1"/>
  <c r="E630"/>
  <c r="G630" s="1"/>
  <c r="E629"/>
  <c r="G629" s="1"/>
  <c r="E628"/>
  <c r="G628" s="1"/>
  <c r="E627"/>
  <c r="G627" s="1"/>
  <c r="E626"/>
  <c r="G626" s="1"/>
  <c r="D623"/>
  <c r="D748" s="1"/>
  <c r="C623"/>
  <c r="C748" s="1"/>
  <c r="B623"/>
  <c r="B748" s="1"/>
  <c r="E622"/>
  <c r="G622" s="1"/>
  <c r="E621"/>
  <c r="G621" s="1"/>
  <c r="F618"/>
  <c r="D618"/>
  <c r="C618"/>
  <c r="B618"/>
  <c r="E617"/>
  <c r="F614"/>
  <c r="F746" s="1"/>
  <c r="D614"/>
  <c r="D746" s="1"/>
  <c r="C614"/>
  <c r="C746" s="1"/>
  <c r="B614"/>
  <c r="B746" s="1"/>
  <c r="E613"/>
  <c r="G613" s="1"/>
  <c r="E612"/>
  <c r="G612" s="1"/>
  <c r="D609"/>
  <c r="D741" s="1"/>
  <c r="C609"/>
  <c r="C741" s="1"/>
  <c r="B609"/>
  <c r="B741" s="1"/>
  <c r="E608"/>
  <c r="G608" s="1"/>
  <c r="E607"/>
  <c r="G607" s="1"/>
  <c r="E604"/>
  <c r="G604" s="1"/>
  <c r="G603"/>
  <c r="D600"/>
  <c r="D740" s="1"/>
  <c r="C600"/>
  <c r="C740" s="1"/>
  <c r="B600"/>
  <c r="B740" s="1"/>
  <c r="E599"/>
  <c r="G599" s="1"/>
  <c r="E598"/>
  <c r="G598" s="1"/>
  <c r="E597"/>
  <c r="G597" s="1"/>
  <c r="E596"/>
  <c r="G596" s="1"/>
  <c r="E595"/>
  <c r="G595" s="1"/>
  <c r="E593"/>
  <c r="G593" s="1"/>
  <c r="D590"/>
  <c r="D739" s="1"/>
  <c r="C590"/>
  <c r="C739" s="1"/>
  <c r="B590"/>
  <c r="B739" s="1"/>
  <c r="E589"/>
  <c r="G589" s="1"/>
  <c r="E588"/>
  <c r="G588" s="1"/>
  <c r="E587"/>
  <c r="G587" s="1"/>
  <c r="E586"/>
  <c r="G586" s="1"/>
  <c r="E585"/>
  <c r="G585" s="1"/>
  <c r="F590"/>
  <c r="F739" s="1"/>
  <c r="E583"/>
  <c r="G583" s="1"/>
  <c r="E582"/>
  <c r="G582" s="1"/>
  <c r="F579"/>
  <c r="F738" s="1"/>
  <c r="D579"/>
  <c r="D738" s="1"/>
  <c r="C579"/>
  <c r="C738" s="1"/>
  <c r="B579"/>
  <c r="B738" s="1"/>
  <c r="E578"/>
  <c r="G578" s="1"/>
  <c r="E577"/>
  <c r="G577" s="1"/>
  <c r="F574"/>
  <c r="F737" s="1"/>
  <c r="D574"/>
  <c r="D737" s="1"/>
  <c r="C574"/>
  <c r="C737" s="1"/>
  <c r="B574"/>
  <c r="B737" s="1"/>
  <c r="E573"/>
  <c r="G573" s="1"/>
  <c r="E572"/>
  <c r="G572" s="1"/>
  <c r="E570"/>
  <c r="G570" s="1"/>
  <c r="F566"/>
  <c r="F736" s="1"/>
  <c r="D566"/>
  <c r="D736" s="1"/>
  <c r="C566"/>
  <c r="C736" s="1"/>
  <c r="B566"/>
  <c r="B736" s="1"/>
  <c r="E565"/>
  <c r="G565" s="1"/>
  <c r="E564"/>
  <c r="G564" s="1"/>
  <c r="E563"/>
  <c r="G563" s="1"/>
  <c r="E562"/>
  <c r="G562" s="1"/>
  <c r="D559"/>
  <c r="D735" s="1"/>
  <c r="C559"/>
  <c r="C735" s="1"/>
  <c r="B559"/>
  <c r="B735" s="1"/>
  <c r="E558"/>
  <c r="G558" s="1"/>
  <c r="E557"/>
  <c r="G557" s="1"/>
  <c r="E556"/>
  <c r="G556" s="1"/>
  <c r="F559"/>
  <c r="F735" s="1"/>
  <c r="E554"/>
  <c r="G554" s="1"/>
  <c r="E552"/>
  <c r="G552" s="1"/>
  <c r="F549"/>
  <c r="F734" s="1"/>
  <c r="D549"/>
  <c r="D734" s="1"/>
  <c r="C549"/>
  <c r="C734" s="1"/>
  <c r="B549"/>
  <c r="B734" s="1"/>
  <c r="E548"/>
  <c r="G548" s="1"/>
  <c r="E547"/>
  <c r="G547" s="1"/>
  <c r="F544"/>
  <c r="F733" s="1"/>
  <c r="D544"/>
  <c r="D733" s="1"/>
  <c r="C544"/>
  <c r="C733" s="1"/>
  <c r="B544"/>
  <c r="B733" s="1"/>
  <c r="E543"/>
  <c r="G543" s="1"/>
  <c r="E542"/>
  <c r="G542" s="1"/>
  <c r="D539"/>
  <c r="D732" s="1"/>
  <c r="C539"/>
  <c r="C732" s="1"/>
  <c r="B539"/>
  <c r="B732" s="1"/>
  <c r="E538"/>
  <c r="G538" s="1"/>
  <c r="E537"/>
  <c r="G537" s="1"/>
  <c r="E536"/>
  <c r="G536" s="1"/>
  <c r="E535"/>
  <c r="G535" s="1"/>
  <c r="F539"/>
  <c r="F732" s="1"/>
  <c r="E534"/>
  <c r="D531"/>
  <c r="D731" s="1"/>
  <c r="C531"/>
  <c r="C731" s="1"/>
  <c r="B531"/>
  <c r="B731" s="1"/>
  <c r="E530"/>
  <c r="G530" s="1"/>
  <c r="E529"/>
  <c r="G529" s="1"/>
  <c r="E528"/>
  <c r="G528" s="1"/>
  <c r="E527"/>
  <c r="G527" s="1"/>
  <c r="E526"/>
  <c r="G526" s="1"/>
  <c r="E525"/>
  <c r="G525" s="1"/>
  <c r="E524"/>
  <c r="G524" s="1"/>
  <c r="E523"/>
  <c r="G523" s="1"/>
  <c r="E522"/>
  <c r="D519"/>
  <c r="D730" s="1"/>
  <c r="C519"/>
  <c r="C730" s="1"/>
  <c r="B519"/>
  <c r="B730" s="1"/>
  <c r="F519"/>
  <c r="F730" s="1"/>
  <c r="E518"/>
  <c r="G518" s="1"/>
  <c r="E517"/>
  <c r="G517" s="1"/>
  <c r="F514"/>
  <c r="F729" s="1"/>
  <c r="D514"/>
  <c r="D729" s="1"/>
  <c r="C514"/>
  <c r="C729" s="1"/>
  <c r="B514"/>
  <c r="B729" s="1"/>
  <c r="E513"/>
  <c r="G513" s="1"/>
  <c r="E512"/>
  <c r="E510"/>
  <c r="G510" s="1"/>
  <c r="D507"/>
  <c r="D728" s="1"/>
  <c r="C507"/>
  <c r="C728" s="1"/>
  <c r="B507"/>
  <c r="B728" s="1"/>
  <c r="E506"/>
  <c r="G506" s="1"/>
  <c r="E505"/>
  <c r="G505" s="1"/>
  <c r="E504"/>
  <c r="G504" s="1"/>
  <c r="E501"/>
  <c r="G501" s="1"/>
  <c r="E500"/>
  <c r="G500" s="1"/>
  <c r="D497"/>
  <c r="D727" s="1"/>
  <c r="C497"/>
  <c r="C727" s="1"/>
  <c r="B497"/>
  <c r="B727" s="1"/>
  <c r="E496"/>
  <c r="G496" s="1"/>
  <c r="E495"/>
  <c r="G495" s="1"/>
  <c r="E493"/>
  <c r="G493" s="1"/>
  <c r="E492"/>
  <c r="G492" s="1"/>
  <c r="F489"/>
  <c r="F726" s="1"/>
  <c r="D489"/>
  <c r="D726" s="1"/>
  <c r="C489"/>
  <c r="C726" s="1"/>
  <c r="B489"/>
  <c r="B726" s="1"/>
  <c r="E488"/>
  <c r="G488" s="1"/>
  <c r="D484"/>
  <c r="D725" s="1"/>
  <c r="C484"/>
  <c r="C725" s="1"/>
  <c r="B484"/>
  <c r="B725" s="1"/>
  <c r="E483"/>
  <c r="G483" s="1"/>
  <c r="E481"/>
  <c r="G481" s="1"/>
  <c r="D478"/>
  <c r="D724" s="1"/>
  <c r="C478"/>
  <c r="C724" s="1"/>
  <c r="B478"/>
  <c r="B724" s="1"/>
  <c r="E477"/>
  <c r="G477" s="1"/>
  <c r="E476"/>
  <c r="G476" s="1"/>
  <c r="E475"/>
  <c r="G475" s="1"/>
  <c r="E474"/>
  <c r="G474" s="1"/>
  <c r="E473"/>
  <c r="G473" s="1"/>
  <c r="D470"/>
  <c r="D723" s="1"/>
  <c r="C470"/>
  <c r="C723" s="1"/>
  <c r="B470"/>
  <c r="B723" s="1"/>
  <c r="E469"/>
  <c r="G469" s="1"/>
  <c r="E468"/>
  <c r="G468" s="1"/>
  <c r="E467"/>
  <c r="G467" s="1"/>
  <c r="E465"/>
  <c r="G465" s="1"/>
  <c r="E464"/>
  <c r="G464" s="1"/>
  <c r="F461"/>
  <c r="F722" s="1"/>
  <c r="D461"/>
  <c r="C461"/>
  <c r="B461"/>
  <c r="E460"/>
  <c r="D457"/>
  <c r="D721" s="1"/>
  <c r="C457"/>
  <c r="C721" s="1"/>
  <c r="B457"/>
  <c r="B721" s="1"/>
  <c r="E456"/>
  <c r="G456" s="1"/>
  <c r="F457"/>
  <c r="F721" s="1"/>
  <c r="E455"/>
  <c r="G455" s="1"/>
  <c r="D452"/>
  <c r="D720" s="1"/>
  <c r="C452"/>
  <c r="C720" s="1"/>
  <c r="B452"/>
  <c r="B720" s="1"/>
  <c r="E451"/>
  <c r="G451" s="1"/>
  <c r="F452"/>
  <c r="F720" s="1"/>
  <c r="E450"/>
  <c r="G450" s="1"/>
  <c r="E449"/>
  <c r="G449" s="1"/>
  <c r="D446"/>
  <c r="D719" s="1"/>
  <c r="C446"/>
  <c r="C719" s="1"/>
  <c r="B446"/>
  <c r="B719" s="1"/>
  <c r="E445"/>
  <c r="G445" s="1"/>
  <c r="E444"/>
  <c r="G444" s="1"/>
  <c r="E443"/>
  <c r="G443" s="1"/>
  <c r="E442"/>
  <c r="G442" s="1"/>
  <c r="E441"/>
  <c r="G441" s="1"/>
  <c r="E440"/>
  <c r="G440" s="1"/>
  <c r="E439"/>
  <c r="G439" s="1"/>
  <c r="D436"/>
  <c r="C436"/>
  <c r="B436"/>
  <c r="E435"/>
  <c r="G435" s="1"/>
  <c r="E434"/>
  <c r="G434" s="1"/>
  <c r="D431"/>
  <c r="D714" s="1"/>
  <c r="C431"/>
  <c r="C714" s="1"/>
  <c r="B431"/>
  <c r="B714" s="1"/>
  <c r="F431"/>
  <c r="F714" s="1"/>
  <c r="E430"/>
  <c r="G430" s="1"/>
  <c r="E429"/>
  <c r="D426"/>
  <c r="D713" s="1"/>
  <c r="C426"/>
  <c r="C713" s="1"/>
  <c r="B426"/>
  <c r="B713" s="1"/>
  <c r="E425"/>
  <c r="G425" s="1"/>
  <c r="E424"/>
  <c r="G424" s="1"/>
  <c r="E423"/>
  <c r="G423" s="1"/>
  <c r="E422"/>
  <c r="G422" s="1"/>
  <c r="E421"/>
  <c r="G421" s="1"/>
  <c r="E420"/>
  <c r="G420" s="1"/>
  <c r="E419"/>
  <c r="G419" s="1"/>
  <c r="E418"/>
  <c r="G418" s="1"/>
  <c r="F415"/>
  <c r="D415"/>
  <c r="C415"/>
  <c r="B415"/>
  <c r="E414"/>
  <c r="G414" s="1"/>
  <c r="E413"/>
  <c r="G413" s="1"/>
  <c r="D410"/>
  <c r="C410"/>
  <c r="B410"/>
  <c r="E409"/>
  <c r="G409" s="1"/>
  <c r="E408"/>
  <c r="G408" s="1"/>
  <c r="E407"/>
  <c r="G407" s="1"/>
  <c r="E406"/>
  <c r="G406" s="1"/>
  <c r="E405"/>
  <c r="G405" s="1"/>
  <c r="E404"/>
  <c r="G404" s="1"/>
  <c r="E403"/>
  <c r="G403" s="1"/>
  <c r="F400"/>
  <c r="F710" s="1"/>
  <c r="D400"/>
  <c r="D710" s="1"/>
  <c r="C400"/>
  <c r="C710" s="1"/>
  <c r="B400"/>
  <c r="B710" s="1"/>
  <c r="E399"/>
  <c r="G399" s="1"/>
  <c r="F396"/>
  <c r="F709" s="1"/>
  <c r="D396"/>
  <c r="D709" s="1"/>
  <c r="C396"/>
  <c r="C709" s="1"/>
  <c r="B396"/>
  <c r="B709" s="1"/>
  <c r="E395"/>
  <c r="G395" s="1"/>
  <c r="D392"/>
  <c r="D708" s="1"/>
  <c r="C392"/>
  <c r="C708" s="1"/>
  <c r="B392"/>
  <c r="B708" s="1"/>
  <c r="E391"/>
  <c r="G391" s="1"/>
  <c r="E390"/>
  <c r="G390" s="1"/>
  <c r="E389"/>
  <c r="D386"/>
  <c r="D707" s="1"/>
  <c r="C386"/>
  <c r="C707" s="1"/>
  <c r="B386"/>
  <c r="B707" s="1"/>
  <c r="E385"/>
  <c r="G385" s="1"/>
  <c r="E384"/>
  <c r="G384" s="1"/>
  <c r="E383"/>
  <c r="G383" s="1"/>
  <c r="D380"/>
  <c r="D706" s="1"/>
  <c r="B380"/>
  <c r="B706" s="1"/>
  <c r="E379"/>
  <c r="G379" s="1"/>
  <c r="C380"/>
  <c r="C706" s="1"/>
  <c r="E377"/>
  <c r="G377" s="1"/>
  <c r="E376"/>
  <c r="G376" s="1"/>
  <c r="E375"/>
  <c r="G375" s="1"/>
  <c r="E374"/>
  <c r="G374" s="1"/>
  <c r="D371"/>
  <c r="D705" s="1"/>
  <c r="D716" s="1"/>
  <c r="C371"/>
  <c r="C705" s="1"/>
  <c r="B371"/>
  <c r="B705" s="1"/>
  <c r="E370"/>
  <c r="G370" s="1"/>
  <c r="E369"/>
  <c r="G369" s="1"/>
  <c r="E368"/>
  <c r="G368" s="1"/>
  <c r="E367"/>
  <c r="G367" s="1"/>
  <c r="F364"/>
  <c r="F701" s="1"/>
  <c r="F702" s="1"/>
  <c r="D364"/>
  <c r="D701" s="1"/>
  <c r="D702" s="1"/>
  <c r="C364"/>
  <c r="C701" s="1"/>
  <c r="C702" s="1"/>
  <c r="B364"/>
  <c r="B701" s="1"/>
  <c r="B702" s="1"/>
  <c r="E363"/>
  <c r="G363" s="1"/>
  <c r="E332"/>
  <c r="D332"/>
  <c r="C332"/>
  <c r="B332"/>
  <c r="F330"/>
  <c r="F329"/>
  <c r="F328"/>
  <c r="F326"/>
  <c r="F325"/>
  <c r="F324"/>
  <c r="F323"/>
  <c r="F322"/>
  <c r="F321"/>
  <c r="F320"/>
  <c r="I301"/>
  <c r="H301"/>
  <c r="G301"/>
  <c r="F301"/>
  <c r="E301"/>
  <c r="E303" s="1"/>
  <c r="D301"/>
  <c r="C301"/>
  <c r="B301"/>
  <c r="K299"/>
  <c r="K298"/>
  <c r="K297"/>
  <c r="K295"/>
  <c r="K291"/>
  <c r="K289"/>
  <c r="K288"/>
  <c r="I279"/>
  <c r="H279"/>
  <c r="G279"/>
  <c r="F279"/>
  <c r="D279"/>
  <c r="C279"/>
  <c r="B279"/>
  <c r="K277"/>
  <c r="K276"/>
  <c r="K274"/>
  <c r="K273"/>
  <c r="K271"/>
  <c r="K269"/>
  <c r="K268"/>
  <c r="I259"/>
  <c r="G259"/>
  <c r="D259"/>
  <c r="D303" s="1"/>
  <c r="C259"/>
  <c r="C303" s="1"/>
  <c r="B259"/>
  <c r="B303" s="1"/>
  <c r="K257"/>
  <c r="K256"/>
  <c r="K255"/>
  <c r="K252"/>
  <c r="K249"/>
  <c r="K248"/>
  <c r="K247"/>
  <c r="K246"/>
  <c r="AM230"/>
  <c r="AM227"/>
  <c r="AL225"/>
  <c r="AK225"/>
  <c r="AJ225"/>
  <c r="AI225"/>
  <c r="AA225"/>
  <c r="Z225"/>
  <c r="V225"/>
  <c r="U225"/>
  <c r="R225"/>
  <c r="Q225"/>
  <c r="P225"/>
  <c r="O225"/>
  <c r="AM223"/>
  <c r="AM222"/>
  <c r="AM221"/>
  <c r="B180" s="1"/>
  <c r="C180"/>
  <c r="AM220"/>
  <c r="AM219"/>
  <c r="AM218"/>
  <c r="AM217"/>
  <c r="B179" s="1"/>
  <c r="AN217" s="1"/>
  <c r="C179"/>
  <c r="AM216"/>
  <c r="U211"/>
  <c r="AM211" s="1"/>
  <c r="AM209"/>
  <c r="B173" s="1"/>
  <c r="AM207"/>
  <c r="B172" s="1"/>
  <c r="AM206"/>
  <c r="P203"/>
  <c r="O203"/>
  <c r="AL197"/>
  <c r="AK197"/>
  <c r="AJ197"/>
  <c r="AI197"/>
  <c r="AA197"/>
  <c r="Z197"/>
  <c r="V197"/>
  <c r="U197"/>
  <c r="T197"/>
  <c r="R197"/>
  <c r="Q197"/>
  <c r="P197"/>
  <c r="O197"/>
  <c r="AM195"/>
  <c r="AM193"/>
  <c r="AM191"/>
  <c r="AN191" s="1"/>
  <c r="AL185"/>
  <c r="AK185"/>
  <c r="AJ185"/>
  <c r="AI185"/>
  <c r="AA185"/>
  <c r="Z185"/>
  <c r="V185"/>
  <c r="U185"/>
  <c r="T185"/>
  <c r="R185"/>
  <c r="Q185"/>
  <c r="P185"/>
  <c r="O185"/>
  <c r="AM183"/>
  <c r="AM181"/>
  <c r="AM179"/>
  <c r="AM177"/>
  <c r="B166" s="1"/>
  <c r="C166"/>
  <c r="AL173"/>
  <c r="AK173"/>
  <c r="AJ173"/>
  <c r="AI173"/>
  <c r="AA173"/>
  <c r="Z173"/>
  <c r="V173"/>
  <c r="U173"/>
  <c r="T173"/>
  <c r="R173"/>
  <c r="Q173"/>
  <c r="P173"/>
  <c r="O173"/>
  <c r="AM171"/>
  <c r="B160" s="1"/>
  <c r="AM169"/>
  <c r="B159" s="1"/>
  <c r="AM167"/>
  <c r="AM166"/>
  <c r="AM165"/>
  <c r="AL160"/>
  <c r="AK160"/>
  <c r="AJ160"/>
  <c r="AI160"/>
  <c r="AA160"/>
  <c r="Z160"/>
  <c r="Z229" s="1"/>
  <c r="Z231" s="1"/>
  <c r="V160"/>
  <c r="U160"/>
  <c r="T160"/>
  <c r="R160"/>
  <c r="Q160"/>
  <c r="P160"/>
  <c r="O160"/>
  <c r="AM158"/>
  <c r="AM157"/>
  <c r="B153" s="1"/>
  <c r="AM155"/>
  <c r="B152" s="1"/>
  <c r="AM154"/>
  <c r="B151" s="1"/>
  <c r="AM153"/>
  <c r="AN153" s="1"/>
  <c r="AL149"/>
  <c r="AK149"/>
  <c r="AJ149"/>
  <c r="AA149"/>
  <c r="V149"/>
  <c r="U149"/>
  <c r="T149"/>
  <c r="S149"/>
  <c r="S229" s="1"/>
  <c r="S231" s="1"/>
  <c r="Q149"/>
  <c r="O149"/>
  <c r="AL135"/>
  <c r="C130"/>
  <c r="B130"/>
  <c r="AA82"/>
  <c r="B77" s="1"/>
  <c r="Z82"/>
  <c r="B68" s="1"/>
  <c r="U82"/>
  <c r="B76" s="1"/>
  <c r="T82"/>
  <c r="B61" s="1"/>
  <c r="B96" s="1"/>
  <c r="S82"/>
  <c r="R82"/>
  <c r="B62" s="1"/>
  <c r="Q82"/>
  <c r="AI81"/>
  <c r="V42"/>
  <c r="U42"/>
  <c r="R42"/>
  <c r="K42"/>
  <c r="G42"/>
  <c r="F42"/>
  <c r="X40"/>
  <c r="X34"/>
  <c r="B19" s="1"/>
  <c r="X32"/>
  <c r="X30"/>
  <c r="X28"/>
  <c r="X26"/>
  <c r="X24"/>
  <c r="B14" s="1"/>
  <c r="X22"/>
  <c r="B13" s="1"/>
  <c r="X20"/>
  <c r="B12" s="1"/>
  <c r="X18"/>
  <c r="X16"/>
  <c r="B11" s="1"/>
  <c r="X14"/>
  <c r="B10" s="1"/>
  <c r="Q42"/>
  <c r="L42"/>
  <c r="E56" i="14"/>
  <c r="D60"/>
  <c r="D59"/>
  <c r="D58"/>
  <c r="D57"/>
  <c r="D56"/>
  <c r="D55"/>
  <c r="D54"/>
  <c r="D53"/>
  <c r="D50"/>
  <c r="D42"/>
  <c r="D68" s="1"/>
  <c r="D24"/>
  <c r="D23"/>
  <c r="D52" s="1"/>
  <c r="D22"/>
  <c r="D21"/>
  <c r="D19"/>
  <c r="D14"/>
  <c r="D13"/>
  <c r="D36" s="1"/>
  <c r="J156" i="16"/>
  <c r="J207"/>
  <c r="AM142" i="17"/>
  <c r="E378"/>
  <c r="G378" s="1"/>
  <c r="E23" i="14"/>
  <c r="AI736" i="16"/>
  <c r="B735" s="1"/>
  <c r="B665"/>
  <c r="F386" i="17"/>
  <c r="F707" s="1"/>
  <c r="AL229"/>
  <c r="AL231" s="1"/>
  <c r="F484"/>
  <c r="F725" s="1"/>
  <c r="F507"/>
  <c r="F728" s="1"/>
  <c r="F609"/>
  <c r="F741" s="1"/>
  <c r="G534"/>
  <c r="F637"/>
  <c r="F752" s="1"/>
  <c r="F436"/>
  <c r="F426"/>
  <c r="F713" s="1"/>
  <c r="F410"/>
  <c r="F470"/>
  <c r="F723" s="1"/>
  <c r="F600"/>
  <c r="F740" s="1"/>
  <c r="F380"/>
  <c r="F706" s="1"/>
  <c r="F446"/>
  <c r="F719" s="1"/>
  <c r="F478"/>
  <c r="F724" s="1"/>
  <c r="F531"/>
  <c r="F731" s="1"/>
  <c r="F371"/>
  <c r="F705" s="1"/>
  <c r="F497"/>
  <c r="F727" s="1"/>
  <c r="F623"/>
  <c r="F748" s="1"/>
  <c r="F392"/>
  <c r="F708" s="1"/>
  <c r="G660"/>
  <c r="G522"/>
  <c r="T840"/>
  <c r="E42" i="14"/>
  <c r="B1164" i="16"/>
  <c r="B1217" s="1"/>
  <c r="H1164"/>
  <c r="C1164"/>
  <c r="Z782"/>
  <c r="B1097"/>
  <c r="U1100"/>
  <c r="AE779"/>
  <c r="AE782" s="1"/>
  <c r="AC586"/>
  <c r="B742"/>
  <c r="AG782"/>
  <c r="H1100"/>
  <c r="Z10"/>
  <c r="C10" s="1"/>
  <c r="L515"/>
  <c r="F515"/>
  <c r="F535" s="1"/>
  <c r="J77"/>
  <c r="Q1011"/>
  <c r="U782"/>
  <c r="AA782"/>
  <c r="AD620"/>
  <c r="J76"/>
  <c r="R984"/>
  <c r="I1100"/>
  <c r="AB744"/>
  <c r="J105"/>
  <c r="J180"/>
  <c r="R993"/>
  <c r="C1011"/>
  <c r="R996"/>
  <c r="C1097"/>
  <c r="D859"/>
  <c r="AI738"/>
  <c r="B737" s="1"/>
  <c r="W616"/>
  <c r="W618" s="1"/>
  <c r="C450"/>
  <c r="C469" s="1"/>
  <c r="H515"/>
  <c r="E1097"/>
  <c r="R1094"/>
  <c r="D1217"/>
  <c r="B450"/>
  <c r="E1011"/>
  <c r="R997"/>
  <c r="B1011"/>
  <c r="R953"/>
  <c r="R1029"/>
  <c r="E21" i="14"/>
  <c r="E62"/>
  <c r="E27"/>
  <c r="G396" i="17"/>
  <c r="G709" s="1"/>
  <c r="G389"/>
  <c r="I1217" i="16"/>
  <c r="E57" i="14"/>
  <c r="E59"/>
  <c r="E24"/>
  <c r="E747" i="17"/>
  <c r="E680"/>
  <c r="E742" s="1"/>
  <c r="E54" i="14"/>
  <c r="I1218" i="16" l="1"/>
  <c r="E53" i="14"/>
  <c r="E55"/>
  <c r="E19"/>
  <c r="G42"/>
  <c r="E22"/>
  <c r="E50"/>
  <c r="F36"/>
  <c r="B22" i="17"/>
  <c r="B716"/>
  <c r="AI752" i="16"/>
  <c r="B639"/>
  <c r="AC560"/>
  <c r="K616"/>
  <c r="K618" s="1"/>
  <c r="J535"/>
  <c r="D535"/>
  <c r="V616"/>
  <c r="V618" s="1"/>
  <c r="AC608"/>
  <c r="B576" s="1"/>
  <c r="B535"/>
  <c r="N535"/>
  <c r="I535"/>
  <c r="K535"/>
  <c r="I616"/>
  <c r="I618" s="1"/>
  <c r="S616"/>
  <c r="S618" s="1"/>
  <c r="X616"/>
  <c r="X618" s="1"/>
  <c r="Z616"/>
  <c r="Z618" s="1"/>
  <c r="AB616"/>
  <c r="AB618" s="1"/>
  <c r="E665"/>
  <c r="F1217"/>
  <c r="C1217"/>
  <c r="C333"/>
  <c r="C338" s="1"/>
  <c r="H1214"/>
  <c r="W884"/>
  <c r="H929"/>
  <c r="G859"/>
  <c r="AA861" s="1"/>
  <c r="G535"/>
  <c r="AC570"/>
  <c r="B554" s="1"/>
  <c r="T782"/>
  <c r="C535"/>
  <c r="AC600"/>
  <c r="B570" s="1"/>
  <c r="E535"/>
  <c r="E616"/>
  <c r="E618" s="1"/>
  <c r="U616"/>
  <c r="U618" s="1"/>
  <c r="AA616"/>
  <c r="AA618" s="1"/>
  <c r="H535"/>
  <c r="P535"/>
  <c r="AC582"/>
  <c r="B558" s="1"/>
  <c r="L535"/>
  <c r="AC592"/>
  <c r="B564" s="1"/>
  <c r="B720"/>
  <c r="AL686"/>
  <c r="F279"/>
  <c r="F294" s="1"/>
  <c r="C683"/>
  <c r="J279"/>
  <c r="E279"/>
  <c r="E294" s="1"/>
  <c r="E519" i="17"/>
  <c r="E730" s="1"/>
  <c r="C716"/>
  <c r="E392"/>
  <c r="E708" s="1"/>
  <c r="F716"/>
  <c r="AM197"/>
  <c r="F349"/>
  <c r="C682"/>
  <c r="B682"/>
  <c r="D682"/>
  <c r="F682"/>
  <c r="C760"/>
  <c r="E590"/>
  <c r="E739" s="1"/>
  <c r="X10"/>
  <c r="E410"/>
  <c r="E484"/>
  <c r="E725" s="1"/>
  <c r="E579"/>
  <c r="E738" s="1"/>
  <c r="E426"/>
  <c r="E713" s="1"/>
  <c r="E653"/>
  <c r="E754" s="1"/>
  <c r="E489"/>
  <c r="E726" s="1"/>
  <c r="R229"/>
  <c r="R231" s="1"/>
  <c r="AM173"/>
  <c r="K259"/>
  <c r="G667"/>
  <c r="G764" s="1"/>
  <c r="E400"/>
  <c r="E710" s="1"/>
  <c r="E614"/>
  <c r="E746" s="1"/>
  <c r="G539"/>
  <c r="G732" s="1"/>
  <c r="E364"/>
  <c r="G426"/>
  <c r="G713" s="1"/>
  <c r="B459" i="16"/>
  <c r="O229" i="17"/>
  <c r="O231" s="1"/>
  <c r="I303"/>
  <c r="B154"/>
  <c r="K279"/>
  <c r="K301"/>
  <c r="B162"/>
  <c r="G452"/>
  <c r="G720" s="1"/>
  <c r="G489"/>
  <c r="G726" s="1"/>
  <c r="E514"/>
  <c r="E729" s="1"/>
  <c r="G519"/>
  <c r="G730" s="1"/>
  <c r="G574"/>
  <c r="G737" s="1"/>
  <c r="P149"/>
  <c r="P229" s="1"/>
  <c r="P231" s="1"/>
  <c r="AN165"/>
  <c r="AM185"/>
  <c r="E507"/>
  <c r="E728" s="1"/>
  <c r="E371"/>
  <c r="E705" s="1"/>
  <c r="E646"/>
  <c r="E753" s="1"/>
  <c r="E566"/>
  <c r="E736" s="1"/>
  <c r="E452"/>
  <c r="E720" s="1"/>
  <c r="E386"/>
  <c r="E707" s="1"/>
  <c r="G392"/>
  <c r="G708" s="1"/>
  <c r="E574"/>
  <c r="E737" s="1"/>
  <c r="G662"/>
  <c r="G763" s="1"/>
  <c r="E531"/>
  <c r="E731" s="1"/>
  <c r="B175"/>
  <c r="B760"/>
  <c r="E672"/>
  <c r="E765" s="1"/>
  <c r="C797"/>
  <c r="C811" s="1"/>
  <c r="AA1076"/>
  <c r="Z1097"/>
  <c r="AA1094"/>
  <c r="AI149"/>
  <c r="AI229" s="1"/>
  <c r="AI231" s="1"/>
  <c r="E609"/>
  <c r="E741" s="1"/>
  <c r="E380"/>
  <c r="E706" s="1"/>
  <c r="AJ229"/>
  <c r="AJ231" s="1"/>
  <c r="G415"/>
  <c r="G590"/>
  <c r="G739" s="1"/>
  <c r="G614"/>
  <c r="G746" s="1"/>
  <c r="V1097"/>
  <c r="AI82"/>
  <c r="AI86" s="1"/>
  <c r="E637"/>
  <c r="E752" s="1"/>
  <c r="G670"/>
  <c r="G672" s="1"/>
  <c r="G765" s="1"/>
  <c r="E657"/>
  <c r="E758" s="1"/>
  <c r="E497"/>
  <c r="E727" s="1"/>
  <c r="E600"/>
  <c r="E740" s="1"/>
  <c r="E544"/>
  <c r="E733" s="1"/>
  <c r="E478"/>
  <c r="E724" s="1"/>
  <c r="E539"/>
  <c r="E732" s="1"/>
  <c r="G512"/>
  <c r="G514" s="1"/>
  <c r="G729" s="1"/>
  <c r="E549"/>
  <c r="E734" s="1"/>
  <c r="E559"/>
  <c r="E735" s="1"/>
  <c r="E623"/>
  <c r="E748" s="1"/>
  <c r="E446"/>
  <c r="E719" s="1"/>
  <c r="E436"/>
  <c r="E396"/>
  <c r="E709" s="1"/>
  <c r="G380"/>
  <c r="G706" s="1"/>
  <c r="E618"/>
  <c r="G623"/>
  <c r="G748" s="1"/>
  <c r="B797"/>
  <c r="B811" s="1"/>
  <c r="F332"/>
  <c r="G303"/>
  <c r="F303"/>
  <c r="H303"/>
  <c r="E457"/>
  <c r="E721" s="1"/>
  <c r="G657"/>
  <c r="G758" s="1"/>
  <c r="G364"/>
  <c r="E415"/>
  <c r="G470"/>
  <c r="G723" s="1"/>
  <c r="T229"/>
  <c r="T231" s="1"/>
  <c r="V229"/>
  <c r="V231" s="1"/>
  <c r="G446"/>
  <c r="G719" s="1"/>
  <c r="E470"/>
  <c r="E723" s="1"/>
  <c r="G484"/>
  <c r="G725" s="1"/>
  <c r="G549"/>
  <c r="G734" s="1"/>
  <c r="E667"/>
  <c r="E764" s="1"/>
  <c r="G637"/>
  <c r="G752" s="1"/>
  <c r="G436"/>
  <c r="G457"/>
  <c r="G721" s="1"/>
  <c r="G600"/>
  <c r="G740" s="1"/>
  <c r="G609"/>
  <c r="G741" s="1"/>
  <c r="G617"/>
  <c r="AN177"/>
  <c r="G566"/>
  <c r="G736" s="1"/>
  <c r="G579"/>
  <c r="G738" s="1"/>
  <c r="G371"/>
  <c r="G705" s="1"/>
  <c r="G507"/>
  <c r="G728" s="1"/>
  <c r="G531"/>
  <c r="G731" s="1"/>
  <c r="B755"/>
  <c r="F760"/>
  <c r="C766"/>
  <c r="F766"/>
  <c r="G676"/>
  <c r="G759" s="1"/>
  <c r="G559"/>
  <c r="G735" s="1"/>
  <c r="Q229"/>
  <c r="Q231" s="1"/>
  <c r="U229"/>
  <c r="U231" s="1"/>
  <c r="AA229"/>
  <c r="AA231" s="1"/>
  <c r="AK229"/>
  <c r="AK231" s="1"/>
  <c r="AM160"/>
  <c r="G410"/>
  <c r="B743"/>
  <c r="C749"/>
  <c r="D760"/>
  <c r="D766"/>
  <c r="B766"/>
  <c r="E676"/>
  <c r="E759" s="1"/>
  <c r="X42"/>
  <c r="X43" s="1"/>
  <c r="F749"/>
  <c r="E14" i="14"/>
  <c r="D743" i="17"/>
  <c r="G497"/>
  <c r="G727" s="1"/>
  <c r="G544"/>
  <c r="G733" s="1"/>
  <c r="D755"/>
  <c r="G653"/>
  <c r="G754" s="1"/>
  <c r="F755"/>
  <c r="C743"/>
  <c r="E662"/>
  <c r="E763" s="1"/>
  <c r="F743"/>
  <c r="G646"/>
  <c r="G753" s="1"/>
  <c r="G400"/>
  <c r="G710" s="1"/>
  <c r="AM225"/>
  <c r="E431"/>
  <c r="E714" s="1"/>
  <c r="E461"/>
  <c r="E722" s="1"/>
  <c r="B749"/>
  <c r="D749"/>
  <c r="C755"/>
  <c r="AA1085"/>
  <c r="AM147"/>
  <c r="B145" s="1"/>
  <c r="Y149"/>
  <c r="Y229" s="1"/>
  <c r="Y231" s="1"/>
  <c r="F70" i="14"/>
  <c r="D333" i="16"/>
  <c r="D338" s="1"/>
  <c r="Y782"/>
  <c r="AD782"/>
  <c r="Y616"/>
  <c r="Y618" s="1"/>
  <c r="B738"/>
  <c r="AI744"/>
  <c r="B743"/>
  <c r="AI779"/>
  <c r="B758" s="1"/>
  <c r="E1100"/>
  <c r="C1100"/>
  <c r="Z42"/>
  <c r="R1097"/>
  <c r="R1011"/>
  <c r="AB782"/>
  <c r="C36"/>
  <c r="B1100"/>
  <c r="T1100"/>
  <c r="I1220"/>
  <c r="F333"/>
  <c r="F338" s="1"/>
  <c r="B467"/>
  <c r="AC616"/>
  <c r="AC618" s="1"/>
  <c r="J294"/>
  <c r="E18" i="14"/>
  <c r="G386" i="17"/>
  <c r="G707" s="1"/>
  <c r="E60" i="14"/>
  <c r="E58"/>
  <c r="G478" i="17"/>
  <c r="G724" s="1"/>
  <c r="G720" i="16"/>
  <c r="G460" i="17"/>
  <c r="G461" s="1"/>
  <c r="G722" s="1"/>
  <c r="G429"/>
  <c r="G431" s="1"/>
  <c r="G714" s="1"/>
  <c r="T858"/>
  <c r="E25" i="14" s="1"/>
  <c r="B351" i="17"/>
  <c r="D351"/>
  <c r="C351"/>
  <c r="E351"/>
  <c r="AM144"/>
  <c r="E34" i="14" l="1"/>
  <c r="E36" s="1"/>
  <c r="F351" i="17"/>
  <c r="B578" i="16"/>
  <c r="AI782"/>
  <c r="B760" s="1"/>
  <c r="B469"/>
  <c r="R1100"/>
  <c r="AA1097" i="17"/>
  <c r="E749"/>
  <c r="E716"/>
  <c r="G716"/>
  <c r="G760"/>
  <c r="G766"/>
  <c r="E743"/>
  <c r="E755"/>
  <c r="AI88"/>
  <c r="E701"/>
  <c r="E702" s="1"/>
  <c r="E682"/>
  <c r="G701"/>
  <c r="G702" s="1"/>
  <c r="K303"/>
  <c r="G743"/>
  <c r="E760"/>
  <c r="E766"/>
  <c r="G747"/>
  <c r="G749" s="1"/>
  <c r="G618"/>
  <c r="G682" s="1"/>
  <c r="C768"/>
  <c r="AM229"/>
  <c r="AM231" s="1"/>
  <c r="AN231" s="1"/>
  <c r="F768"/>
  <c r="G755"/>
  <c r="D768"/>
  <c r="B768"/>
  <c r="H1217" i="16"/>
  <c r="I1222" s="1"/>
  <c r="B143" i="17"/>
  <c r="AM149"/>
  <c r="E768" l="1"/>
  <c r="M684"/>
  <c r="B146"/>
  <c r="G768"/>
  <c r="G36" i="14"/>
  <c r="E52"/>
  <c r="E66" s="1"/>
  <c r="E68" s="1"/>
  <c r="G68" l="1"/>
  <c r="E70"/>
  <c r="C953" i="17"/>
  <c r="B948" s="1"/>
  <c r="B953"/>
  <c r="O533" i="16"/>
  <c r="O525"/>
  <c r="O497"/>
  <c r="O490"/>
  <c r="O515"/>
  <c r="O500"/>
  <c r="B168" i="17"/>
  <c r="B185"/>
  <c r="C935"/>
  <c r="C955"/>
  <c r="C185"/>
  <c r="C168"/>
  <c r="O519" i="16"/>
  <c r="O491"/>
  <c r="B935" i="17"/>
  <c r="B955"/>
  <c r="B959"/>
  <c r="O531" i="16"/>
  <c r="O510"/>
  <c r="O493"/>
  <c r="B183" i="17"/>
  <c r="O530" i="16"/>
  <c r="O529"/>
  <c r="C183" i="17"/>
  <c r="O526" i="16"/>
  <c r="O508"/>
  <c r="O505"/>
  <c r="O494"/>
  <c r="O518"/>
  <c r="O486"/>
  <c r="O511"/>
  <c r="O532"/>
  <c r="O514"/>
  <c r="O522"/>
  <c r="O513"/>
  <c r="O520"/>
  <c r="O506"/>
  <c r="O535"/>
  <c r="O509"/>
  <c r="O504"/>
  <c r="O507"/>
  <c r="O495"/>
  <c r="O501"/>
  <c r="O492"/>
  <c r="O487"/>
  <c r="C944" i="17"/>
  <c r="B939"/>
  <c r="B944"/>
  <c r="O527" i="16"/>
  <c r="O496"/>
  <c r="O502"/>
  <c r="O503"/>
  <c r="O528"/>
  <c r="O512"/>
  <c r="O521"/>
</calcChain>
</file>

<file path=xl/sharedStrings.xml><?xml version="1.0" encoding="utf-8"?>
<sst xmlns="http://schemas.openxmlformats.org/spreadsheetml/2006/main" count="2913" uniqueCount="1021">
  <si>
    <t>FINANCE DIVISION (HQS)</t>
  </si>
  <si>
    <t>DOPE TEST SCHEME</t>
  </si>
  <si>
    <t>CLOSING</t>
  </si>
  <si>
    <t>BALANCE</t>
  </si>
  <si>
    <t>WRITTEN OFF</t>
  </si>
  <si>
    <t>THE YEAR</t>
  </si>
  <si>
    <t>ADJUSTED</t>
  </si>
  <si>
    <t>121.05 : SPORTS EQUIPMENT(CONSUMABLE)</t>
  </si>
  <si>
    <t>123.0200 :  MAINT. OF STADIA BUILDING (ELECT)</t>
  </si>
  <si>
    <t>0123.0100 MAINTENANCE OF STADIA BUILDING (CIVIL)</t>
  </si>
  <si>
    <t>0123.0300 : MAINTENANCE OF PLAYFIELDS/SWIMMING POOLS</t>
  </si>
  <si>
    <t xml:space="preserve">  0123.0400  MAINTENANCE OF GARDEN/HORTICULTURE</t>
  </si>
  <si>
    <t>M/S SARASWATI ACCOUNTANTS</t>
  </si>
  <si>
    <t>LESS:-FUND RELEASD TO UNITS/CENTRES FOR PLAN , CONST. &amp; OTHER THAN CONST.</t>
  </si>
  <si>
    <t>LESS:-FUND RELEASED TO UNITS/CENTRES FOR PLAN NER CONST &amp; OTHER THAN CONST</t>
  </si>
  <si>
    <t>LESS PAYMENT FOR PLAN &amp; PLAN NER DURING THE YEAR EXCLUDING ADVANCES</t>
  </si>
  <si>
    <t>LESS:-ADJUSTMENT OF ADVANCES TO ADOPTED SCHOOL</t>
  </si>
  <si>
    <t>LESS:-ADJUSTMENT OF ADVANCES TO ABSC (DGMT)</t>
  </si>
  <si>
    <t>KOLKATA</t>
  </si>
  <si>
    <t>NAME OF THE UNITS/CENTRES</t>
  </si>
  <si>
    <t>IMPHAL</t>
  </si>
  <si>
    <t>SONEPAT</t>
  </si>
  <si>
    <t>PATIALA</t>
  </si>
  <si>
    <t>GUWAHATI</t>
  </si>
  <si>
    <t>PURCHASE OF RESIDENTIAL UNITS</t>
  </si>
  <si>
    <t>ASSETS OUT OF CWG-2010</t>
  </si>
  <si>
    <t>ESTABLISHMENT OF NEW CENTRE</t>
  </si>
  <si>
    <t>CAPITAL WORK IN PROGRESS</t>
  </si>
  <si>
    <t>SUB  CENTRE GUWAHATI</t>
  </si>
  <si>
    <t>SAI HQS</t>
  </si>
  <si>
    <t>SAI,NS, SOUTHERN CENTRE, BANGALORE</t>
  </si>
  <si>
    <t>SAI,NS,NORTH EASTERN SUB CENTRE, GUWAHATI</t>
  </si>
  <si>
    <t>DDO HEAD QUARTER,DELHI</t>
  </si>
  <si>
    <t>PUNE BALEWADI</t>
  </si>
  <si>
    <t>MATURED</t>
  </si>
  <si>
    <t>INVESTED</t>
  </si>
  <si>
    <t>NAME OF THE CENTRES/UNITS</t>
  </si>
  <si>
    <t>SAI, NS, NORTHERN CENTRE SONIPAT</t>
  </si>
  <si>
    <t>SAI NS NIS PATIALA</t>
  </si>
  <si>
    <t>LC MARGIN MONEY</t>
  </si>
  <si>
    <t>DEPOSTI MADE TO CONSTRUCTION AGENCIES FOR COMMONWEALTH GAMES</t>
  </si>
  <si>
    <t xml:space="preserve">EXPENDITURE </t>
  </si>
  <si>
    <t>FUND RECEIVED/</t>
  </si>
  <si>
    <t>REIMBURSEMENT</t>
  </si>
  <si>
    <t>NDTL</t>
  </si>
  <si>
    <t>SCHEDULE FOR DUE TO/FROM GOVERNMENT</t>
  </si>
  <si>
    <t>DUE TO GOVT</t>
  </si>
  <si>
    <t>COMBAT SHOOTING</t>
  </si>
  <si>
    <t>GENERAL PROVIDENT FUND</t>
  </si>
  <si>
    <t>HEAD OFFICE</t>
  </si>
  <si>
    <t>LNCPE TRIVANDRUM</t>
  </si>
  <si>
    <t>INVESTMENT S</t>
  </si>
  <si>
    <t>INTEREST ACCRUED</t>
  </si>
  <si>
    <t>STAFF BENEFIT FUND</t>
  </si>
  <si>
    <t>RETIREMENT BENFIT FUND</t>
  </si>
  <si>
    <t>GRANT TOTAL:-</t>
  </si>
  <si>
    <t>OTHERS (UGC)</t>
  </si>
  <si>
    <t>SCHEDULE FOR EARMARKED  FUND (PLAN)</t>
  </si>
  <si>
    <t>FINANCE</t>
  </si>
  <si>
    <t>TRIVENDRUM</t>
  </si>
  <si>
    <t>KOLKOTA</t>
  </si>
  <si>
    <t>GANDHI NAGAR</t>
  </si>
  <si>
    <t>GUWAHTI</t>
  </si>
  <si>
    <t>2008-2009</t>
  </si>
  <si>
    <t>ADD:-FUND RECEIVED FROM MYA&amp;S FOR PLAN SCHEMES OF SAI</t>
  </si>
  <si>
    <t>ADD:-FUND RECEIVED FROM MYA&amp;S FOR  PLAN, NER</t>
  </si>
  <si>
    <t>ADD:- FUND RECEIVED DURING THE YEAR FOR PLAN &amp; PLAN,NER (CONST &amp; OTHER THAN CONST.)</t>
  </si>
  <si>
    <t>HEAD OFFICE, NEW DELHI</t>
  </si>
  <si>
    <t>GSLIS CELL</t>
  </si>
  <si>
    <t>DIRECTOR (FINANCE)</t>
  </si>
  <si>
    <t>2009-2010</t>
  </si>
  <si>
    <t>IMPORTS OF SCIENTIFIC EQUIPMENTS</t>
  </si>
  <si>
    <t>ADVANCE TO FEDERATION</t>
  </si>
  <si>
    <t>SWADESHI INDUSTRIAL FAIR</t>
  </si>
  <si>
    <t>WORLD NO TOBACO DAY</t>
  </si>
  <si>
    <t>IMPORTS OF SPORTS EQUIPMENTS</t>
  </si>
  <si>
    <t>FINANCIAL ASSISTANCE TO PROMISING SPORTS PERSONS &amp;</t>
  </si>
  <si>
    <t>TA/DA TO ARJUNA AND OTHER AWARDEES</t>
  </si>
  <si>
    <t xml:space="preserve">NORTH EAST SPORTS FESTIVAL </t>
  </si>
  <si>
    <t>TAO DONER FOOTBALL TOURNAMENTS</t>
  </si>
  <si>
    <t>OTHERS (QUOBA DELEGATIONS)</t>
  </si>
  <si>
    <t>AS ON 31/3/2011</t>
  </si>
  <si>
    <t>SCHEDULE FOR CLOSING BALANCES AS ON 31ST MARCH 2011</t>
  </si>
  <si>
    <t>YEAR(2010-11)</t>
  </si>
  <si>
    <t>BALANCE SHEET AS ON 31ST.MARCH'2011</t>
  </si>
  <si>
    <t>(2010-11)</t>
  </si>
  <si>
    <t>OPNEING BALANCE AS ON 1.4.2010</t>
  </si>
  <si>
    <t>OPENING BALANCE AS ON 1.4.2010</t>
  </si>
  <si>
    <t>SCHEDULE OF SECURITY DEPOSIT/EARNEST MONEY DEPOSIT/CAUTION MONEY AS ON 31ST MARCH 2011</t>
  </si>
  <si>
    <t>AS ON 1/4/10</t>
  </si>
  <si>
    <t>31/03/11</t>
  </si>
  <si>
    <t>SCHEDULE OF ACCRUED LIABILITIES AS ON 31.3.2011</t>
  </si>
  <si>
    <t>AS ON 31/03/2011</t>
  </si>
  <si>
    <t>DETAILED SCHEDULE OF ACCRUED LIABILIITIES UNDER NON PLAN  AS ON 31.3.2011</t>
  </si>
  <si>
    <t>AS ON 1-4-2010</t>
  </si>
  <si>
    <t>As ON 31-3-2011</t>
  </si>
  <si>
    <t>DETAILED SCHEDULE OF ACCRUED LIABILITIES UNDER NON PLAN AS ON 31.3.2011</t>
  </si>
  <si>
    <t xml:space="preserve"> (2010-2011)</t>
  </si>
  <si>
    <t>SAVING BALANCE AS ON 31.3.2011</t>
  </si>
  <si>
    <t>OPENING BALANCE UNDER PLAN AS ON 01.04.2010</t>
  </si>
  <si>
    <t>2010-2011</t>
  </si>
  <si>
    <t>TRANSFERRED TO</t>
  </si>
  <si>
    <t>TRANSFERRED FROM</t>
  </si>
  <si>
    <t>DEPOSIT/</t>
  </si>
  <si>
    <t>PAID DURING</t>
  </si>
  <si>
    <t>DEPOSITS</t>
  </si>
  <si>
    <t>RECEIVED DURING</t>
  </si>
  <si>
    <t>31.03.2011</t>
  </si>
  <si>
    <t>TRANSFERRED</t>
  </si>
  <si>
    <t>REFUND/PAID</t>
  </si>
  <si>
    <t>WRITE OFF</t>
  </si>
  <si>
    <t>REFUND DURING</t>
  </si>
  <si>
    <t>ACCRUED</t>
  </si>
  <si>
    <t>DISCHARGED</t>
  </si>
  <si>
    <t>NON PLAN</t>
  </si>
  <si>
    <t>CLOSING BALANCE OF PENSION AS ON 31.03.2011-A</t>
  </si>
  <si>
    <t>CLOSING BALANCE OF GRATUITY AS ON 31.03.2011 - B</t>
  </si>
  <si>
    <t>CLOSING BALANCE OF LEAVE SALARY AS ON 31.03.2011 - C</t>
  </si>
  <si>
    <t xml:space="preserve">PREVIOUS </t>
  </si>
  <si>
    <t xml:space="preserve"> AS ON 31/3/2010</t>
  </si>
  <si>
    <t>1.4.2010</t>
  </si>
  <si>
    <t>31.3.2011</t>
  </si>
  <si>
    <t>AS ON 1.04.2010</t>
  </si>
  <si>
    <t xml:space="preserve">INCOME </t>
  </si>
  <si>
    <t>DURING</t>
  </si>
  <si>
    <t>RECEIVED/</t>
  </si>
  <si>
    <t>NC SONEPAT</t>
  </si>
  <si>
    <t>WC GANDHINAGAR</t>
  </si>
  <si>
    <t>SC BANGALORE</t>
  </si>
  <si>
    <t>EC KOLKATA</t>
  </si>
  <si>
    <t>0104.0100 : LICENCE FEE/RENT FROM STADIA/BUILDINGS ETC.</t>
  </si>
  <si>
    <t xml:space="preserve"> 2010-2011</t>
  </si>
  <si>
    <t>OPENING BALANCE AS ON 1.4.10</t>
  </si>
  <si>
    <t>OPNEING BALANCE AS ON 1.4.10</t>
  </si>
  <si>
    <t>PRIZE MONEY</t>
  </si>
  <si>
    <t>EAST GATE, NEW DELHI</t>
  </si>
  <si>
    <t xml:space="preserve">HEAD OFFICE, JN STADIUM, </t>
  </si>
  <si>
    <t>SCHEDULE FOR CAPITAL GRANT</t>
  </si>
  <si>
    <t>DDO INFRA</t>
  </si>
  <si>
    <t>BALANCE AT THE BEGINNING OF THE YEAR</t>
  </si>
  <si>
    <t>ADD:-ASSETS CREATED DURING THE YEAR</t>
  </si>
  <si>
    <t>ADD:-ASSETS TRANSFERRED FROM CC BHOPAL CENTRE</t>
  </si>
  <si>
    <t>ADD:-ASSETS TRANSFERRED FROM NC SONEPAT CENTRE</t>
  </si>
  <si>
    <t>LESS:-ASSETS TRANSFERRED TO SAI CENTRE LUCKNOW</t>
  </si>
  <si>
    <t>LESS:-ASSETS TRANSFERRED TO NC SONEPAT</t>
  </si>
  <si>
    <t xml:space="preserve">LESS:-ASSETS WRITTEN OFF </t>
  </si>
  <si>
    <t>ADD:-ASSETS CREATED OUT OF DEPOSIT WORKS</t>
  </si>
  <si>
    <t>LESS:-ADJUSTMENT OF ADVANCE TO CONSTRUCITON AGENCIES FOR DEPOSIT WORKS</t>
  </si>
  <si>
    <t>LESS:-ASSETS TRANSFERRED TO SAI CENTRE CHANDIGARH</t>
  </si>
  <si>
    <t xml:space="preserve">LESS:-DEPRECIATION </t>
  </si>
  <si>
    <t>ADD:-ADVANCE TO CONSTRUCTION AGENCIES DURING THE YEAR</t>
  </si>
  <si>
    <t>BALANCE AT THE YEAR END</t>
  </si>
  <si>
    <t>0126.0200 : EXPENDITURE ON SPORTS EQUIPMENT (CONSUMABLE)</t>
  </si>
  <si>
    <t>0126.0700 : EXPENDITURE ON PEDAGOGY PROGRAMMES</t>
  </si>
  <si>
    <t>0126.0800 : OTHERS</t>
  </si>
  <si>
    <t>0133.0100  PENSION &amp; FAMILY PENSION</t>
  </si>
  <si>
    <t>0133.0200  GRATUITY</t>
  </si>
  <si>
    <t>0133.0300    ENCASHMENT OF UNUTILISED LEAVE</t>
  </si>
  <si>
    <t>0171.0100 : PURCHASE OF FURNITURE &amp; FIXTURES</t>
  </si>
  <si>
    <t>0134.0100 : BOARDING EXPENDITURE ON STUDENTS</t>
  </si>
  <si>
    <t>0134.0200 : BOARDING EXPENDITURE OF GUESTS</t>
  </si>
  <si>
    <t>0134.0400 : BOARDING EXPENSES (OTHERS)</t>
  </si>
  <si>
    <t>0171.0200 : PURCHASE OF OFFICE EQUIP.</t>
  </si>
  <si>
    <t>FROM BHOPAL</t>
  </si>
  <si>
    <t>SPORTS EQUIPMENT (CONSUMABLE)</t>
  </si>
  <si>
    <t>ELECT. MAINTENANCE OF STADIA</t>
  </si>
  <si>
    <t>CIVIL MAINTENANCE OF STADIA</t>
  </si>
  <si>
    <t>MAINTENANCE OF PLAYFIELDS/SWIMMING POOLS</t>
  </si>
  <si>
    <t>HORTICULTURE</t>
  </si>
  <si>
    <t>MAINTENANCE OF AGVC FLATS</t>
  </si>
  <si>
    <t>MAINTENANCE OF EQUIPMENT</t>
  </si>
  <si>
    <t>SECURITY ARRANGEMENT</t>
  </si>
  <si>
    <t>WATER CHARGES</t>
  </si>
  <si>
    <t>ELECTRICITY CHARGES</t>
  </si>
  <si>
    <t>OTHER EXPENDITURE ON GUEST HOUSE</t>
  </si>
  <si>
    <t>ESTABLISHMENT &amp; OTHER MIC. EXPENSES</t>
  </si>
  <si>
    <t>SALARIES</t>
  </si>
  <si>
    <t>TRAVELLING EXPENSES (DOMESTIC)</t>
  </si>
  <si>
    <t xml:space="preserve">LTC/HTC </t>
  </si>
  <si>
    <t>BONUS</t>
  </si>
  <si>
    <t>MEDICAL EXPENSES</t>
  </si>
  <si>
    <t>OTA/HONORARIUM</t>
  </si>
  <si>
    <t>MEETING &amp; SEMINAR</t>
  </si>
  <si>
    <t>UNIFORM &amp; LIVERIES</t>
  </si>
  <si>
    <t>MAINTENACE OF OFFICE EQUIPMENTS</t>
  </si>
  <si>
    <t>LIBRARY &amp; AUDIO VISUAL</t>
  </si>
  <si>
    <t>PUBLICITY &amp; ADVERTISEMENT</t>
  </si>
  <si>
    <t>POSTAGE &amp; TELEGRAM</t>
  </si>
  <si>
    <t>TELEPHONE CHARGES</t>
  </si>
  <si>
    <t xml:space="preserve">PRINTING &amp; STATIONERY  </t>
  </si>
  <si>
    <t>REPAIR OF FURNITURE &amp; FIXTURE</t>
  </si>
  <si>
    <t>MAINTENANCE OF OFFICE VEHICLE</t>
  </si>
  <si>
    <t>EXPENDITURE ON PETROL/DIESEL</t>
  </si>
  <si>
    <t>LEGAL FEE CHARGES</t>
  </si>
  <si>
    <t>AUDIT FEES</t>
  </si>
  <si>
    <t>PAY &amp; PLAY</t>
  </si>
  <si>
    <t>OTHER MISC. EXPENSES</t>
  </si>
  <si>
    <t>HOSPITALITY</t>
  </si>
  <si>
    <t>HIRE OF VEHICLES</t>
  </si>
  <si>
    <t>ACADEMIC PROGRAMMES</t>
  </si>
  <si>
    <t>EXPENDITURE ON SPORTS EQUIPMENT</t>
  </si>
  <si>
    <t>EXPENDITURE ON PEDAGOGY PROGRAMMES</t>
  </si>
  <si>
    <t>PENSION</t>
  </si>
  <si>
    <t>GRATUITY</t>
  </si>
  <si>
    <t>ENCASHMENT OF UNUTILISED LEAVE</t>
  </si>
  <si>
    <t>CAPITAL EXPENDITURE NON PLAN</t>
  </si>
  <si>
    <t>PURCHASE OF FURNITURE &amp; FIXTURES</t>
  </si>
  <si>
    <t>PURCHASE OF OFFICE EQUIPMENTS</t>
  </si>
  <si>
    <t>BOARDING EXPENSES OF TRAINEES</t>
  </si>
  <si>
    <t>BOARDING EXPENSES OF GUESTS</t>
  </si>
  <si>
    <t>BOARDING EXPENSES OTHERS</t>
  </si>
  <si>
    <t>TOTAL:=</t>
  </si>
  <si>
    <t xml:space="preserve"> (2009-2010)</t>
  </si>
  <si>
    <t>LEAVE SALARY</t>
  </si>
  <si>
    <t>GRAND TOTAL (A+B+C)</t>
  </si>
  <si>
    <t>NATIONAL SPORTS DEVELOPMENT FUND</t>
  </si>
  <si>
    <t>DEPOSIT WITH CPWD FOR CWG 2010</t>
  </si>
  <si>
    <t>FUND  FROM MYAS FOR SPORTSEQUIPMENTS GYM SET 75:25</t>
  </si>
  <si>
    <t>PREPARATION OF INDIAN TEAMS FOR CWG-2010</t>
  </si>
  <si>
    <t>CWG 2010-ECIL SECURITY SOLUTIONS</t>
  </si>
  <si>
    <t>CWG 2010- STPI DELHI</t>
  </si>
  <si>
    <t>FULL BORE KADARPUR,GURGAON CWG-2010</t>
  </si>
  <si>
    <t>ROAD WIDENING AT CRPF CAMP  KADARPUR, GURGAON CWG-2010</t>
  </si>
  <si>
    <t>TECHNO FINANCIAL AUDIT ,RK KHANNA STADIUM CWG 2010</t>
  </si>
  <si>
    <t>CWG 2010- DPS R.K.PURAM-LAWN BOWLING</t>
  </si>
  <si>
    <t>HERO HONDA FTH WORLD CUP 2010</t>
  </si>
  <si>
    <t>OC SPORTS EQUIPMENTS FOR CWG 2010</t>
  </si>
  <si>
    <t>INDIAN OLYMPIC ASSOCIATION</t>
  </si>
  <si>
    <t>FESTIVAL OF USSR IN INDIA</t>
  </si>
  <si>
    <t>FESTIVAL OF FRANCE IN INDIA</t>
  </si>
  <si>
    <t>DSM COURSES</t>
  </si>
  <si>
    <t>EXP ON COACHING MONITARY COMMITTEE</t>
  </si>
  <si>
    <t>BEIJING ASIAN GAMES</t>
  </si>
  <si>
    <t>TA/DA TO GOVT NOMINEES</t>
  </si>
  <si>
    <t>SPORTS COMFERENCES</t>
  </si>
  <si>
    <t>SPORTS PROSPECTS AND PROGRAMMES</t>
  </si>
  <si>
    <t>SARCH PROGRAMMES</t>
  </si>
  <si>
    <t>PRE OLYMPIC HOCKEY TOURNAMENTS</t>
  </si>
  <si>
    <t>FOR CLAY PIGEON (NIS PATIALA)</t>
  </si>
  <si>
    <t>FOR EXHIBITION IN USSR (NIS PATIALA)</t>
  </si>
  <si>
    <t>BARCELOAN OLYMPIC</t>
  </si>
  <si>
    <t>MAKA TROPHY</t>
  </si>
  <si>
    <t>SADBHAVA NA  RACES</t>
  </si>
  <si>
    <t>PROMOTION OF SPORTS AMONG WOMEN</t>
  </si>
  <si>
    <t>UPGRDATION OF HOSTEL FACILITIES</t>
  </si>
  <si>
    <t>OTHER PROGRAMMES</t>
  </si>
  <si>
    <t>GIFT TO FOREIGN COUNTRIES</t>
  </si>
  <si>
    <t>ASSISTANCE TO SAI OFFICIALS GOING ABROAD</t>
  </si>
  <si>
    <t>INDEPENDENCE GOLD CUP HOCKEY TOURNAMENTS</t>
  </si>
  <si>
    <t>BANGALORE</t>
  </si>
  <si>
    <t>GANDHINAGAR</t>
  </si>
  <si>
    <t>CURRENT YEAR</t>
  </si>
  <si>
    <t>PREVIOUS YEAR</t>
  </si>
  <si>
    <t>SAI, NS,CENTRAL CENTRE, BHOPAL</t>
  </si>
  <si>
    <t>-</t>
  </si>
  <si>
    <t>GPF CELL</t>
  </si>
  <si>
    <t xml:space="preserve">NIS </t>
  </si>
  <si>
    <t>SAI (HQS)</t>
  </si>
  <si>
    <t>SPORTS AUTHORITY OF INDIA</t>
  </si>
  <si>
    <t>AT HQS</t>
  </si>
  <si>
    <t>(AMOUNT-RS.)</t>
  </si>
  <si>
    <t>LIABILITIES</t>
  </si>
  <si>
    <t>(2006-07)</t>
  </si>
  <si>
    <t>(2009-10)</t>
  </si>
  <si>
    <t>CAPITAL GRANT</t>
  </si>
  <si>
    <t>AMOUNT PAYABLE</t>
  </si>
  <si>
    <t xml:space="preserve">RECEIVED </t>
  </si>
  <si>
    <t>GPF &amp; OTHER WELFARE FUND</t>
  </si>
  <si>
    <t>COMMONWEALTH GAMES</t>
  </si>
  <si>
    <t>ASSETS</t>
  </si>
  <si>
    <t xml:space="preserve">FIXED ASSETS </t>
  </si>
  <si>
    <t>INVESTMENT</t>
  </si>
  <si>
    <t>AMOUNT RECEIVABLE</t>
  </si>
  <si>
    <t>ADVANCE FOR CAPITAL WORK/MAINTENANCE</t>
  </si>
  <si>
    <t>REMITTANCES IN TRANSIT</t>
  </si>
  <si>
    <t>GPF &amp; GSLIS PREMIUM</t>
  </si>
  <si>
    <t>SATYA NIKETAN, DELHI</t>
  </si>
  <si>
    <t>**</t>
  </si>
  <si>
    <t>NIS PATIALA</t>
  </si>
  <si>
    <t xml:space="preserve">INTERNAL </t>
  </si>
  <si>
    <t>HQS</t>
  </si>
  <si>
    <t>ADJUSTMENT</t>
  </si>
  <si>
    <t>GSLIS</t>
  </si>
  <si>
    <t>CURRENT LIABILITIES</t>
  </si>
  <si>
    <t>BALANCE FOR FRANKING MACHINE</t>
  </si>
  <si>
    <t>LESS:-LPC ISSUED DURING THE YEAR</t>
  </si>
  <si>
    <t>GSLIC</t>
  </si>
  <si>
    <t xml:space="preserve">BALEWADI </t>
  </si>
  <si>
    <t>MISCELLANEOUS RECEIPTS</t>
  </si>
  <si>
    <t>SALE OF ASSETS</t>
  </si>
  <si>
    <t>0123.0500  MAINTENANCE OF RESIDENTIAL ACCOMODATION/SAI FLATS</t>
  </si>
  <si>
    <t xml:space="preserve">  01230600    MAINT.OF EQUIPMENT</t>
  </si>
  <si>
    <t>LOANS &amp; ADVANCES</t>
  </si>
  <si>
    <t xml:space="preserve">  </t>
  </si>
  <si>
    <t>TOTAL:-</t>
  </si>
  <si>
    <t>SPORTS EQUIPMENTS</t>
  </si>
  <si>
    <t>LESS : Provision for Gratuity,Leave Encashment and Pension For Plan</t>
  </si>
  <si>
    <t>BANK INTEREST</t>
  </si>
  <si>
    <t xml:space="preserve">BANK INTEREST </t>
  </si>
  <si>
    <t xml:space="preserve">DURING THE </t>
  </si>
  <si>
    <t>ACCRUED ON</t>
  </si>
  <si>
    <t>RECEIVED  ON</t>
  </si>
  <si>
    <t>YEAR</t>
  </si>
  <si>
    <t>CORPUS FUND</t>
  </si>
  <si>
    <t>ADVANCE TO CONSTRUCTION AGENCIES FOR COMMONWEALTH GAMES</t>
  </si>
  <si>
    <t>AS PER AUDIT OBSERVATIONS</t>
  </si>
  <si>
    <t>DEPOSIT MADE TO CONSTRUCTION AGENCIES FOR COMMONWEALTH GAMES</t>
  </si>
  <si>
    <t>Upto 31-3-2008</t>
  </si>
  <si>
    <t>During The Year</t>
  </si>
  <si>
    <t>Upto 31-03-2009</t>
  </si>
  <si>
    <t>SCHEDULE FOR FIXED ASSETS</t>
  </si>
  <si>
    <t>NAME OF THE CENTRE AND HEAD OF ACCOUNTS</t>
  </si>
  <si>
    <t>REFUND FROM</t>
  </si>
  <si>
    <t>DEPRECIATION</t>
  </si>
  <si>
    <t xml:space="preserve">ASSETS </t>
  </si>
  <si>
    <t>FIXED ASSETS</t>
  </si>
  <si>
    <t xml:space="preserve">ADVANCE TO </t>
  </si>
  <si>
    <t xml:space="preserve">CREATED </t>
  </si>
  <si>
    <t>CREATED OUT</t>
  </si>
  <si>
    <t>WRITTEN</t>
  </si>
  <si>
    <t>CONSRUCITON</t>
  </si>
  <si>
    <t>AS ON</t>
  </si>
  <si>
    <t>DURING THE</t>
  </si>
  <si>
    <t>OF DEPOSIT WORK</t>
  </si>
  <si>
    <t>AGENCIES DURING</t>
  </si>
  <si>
    <t>AUDIO VISUALS</t>
  </si>
  <si>
    <t>SOUTHERN CENTRE BANGALORE</t>
  </si>
  <si>
    <t>COMPUTER PERIPHERALS</t>
  </si>
  <si>
    <t>WETERN CENTRE GANDHINAGAR</t>
  </si>
  <si>
    <t>NORTHERN CENTRE SONEPAT</t>
  </si>
  <si>
    <t>NER IMPHAL</t>
  </si>
  <si>
    <t>COMPUTER SOFTWARE</t>
  </si>
  <si>
    <t>WESTERN CENTRE GANDHINAGAR</t>
  </si>
  <si>
    <t>COMPUTERS</t>
  </si>
  <si>
    <t>EASTERN CENTRE KOLKATA</t>
  </si>
  <si>
    <t>SUB CENTRE GUWAHATI</t>
  </si>
  <si>
    <t>ELECTRICAL EQUIPMENTS</t>
  </si>
  <si>
    <t>NER IMPHAL;</t>
  </si>
  <si>
    <t xml:space="preserve"> FURNITURE AND FIXTURES</t>
  </si>
  <si>
    <t>DDO(INFRA)</t>
  </si>
  <si>
    <t>FURNITURE &amp; FIXTURE/OFFICE EQUIPMENTS</t>
  </si>
  <si>
    <t>INDEGENOUS</t>
  </si>
  <si>
    <t>KITCHEN EQUIPMENTS</t>
  </si>
  <si>
    <t>LAN ACCESSORIES</t>
  </si>
  <si>
    <t>LAND &amp; BUILDINGS</t>
  </si>
  <si>
    <t>LIBRARY BOOKS</t>
  </si>
  <si>
    <t>LIBRARY BOOKS &amp; AUDIO VISUALS</t>
  </si>
  <si>
    <t>MEDICAL EQUIPMETNS/ACCESSORIES/DOPE TEST</t>
  </si>
  <si>
    <t>OFFICE EQUIPMENTS</t>
  </si>
  <si>
    <t>DDO (INFRA) FOR TENNIS COURT</t>
  </si>
  <si>
    <t>PURCHASE OF PLANT, TOOLS &amp; MACHINERY</t>
  </si>
  <si>
    <t>WESTERN CENTRE, GANDHINAGAR</t>
  </si>
  <si>
    <t>DEPARTMENTAL WORKS</t>
  </si>
  <si>
    <t>PURCHASE OF VEHICLES</t>
  </si>
  <si>
    <t>SCIENTIFIC EQUIPMENTS</t>
  </si>
  <si>
    <t>PENSION &amp; RETIREMENT BENEFITS</t>
  </si>
  <si>
    <t>SAI, NS, SOUTHERN CENTRE, BANGALORE</t>
  </si>
  <si>
    <t>PLAN</t>
  </si>
  <si>
    <t>EXECUTIVE DIRECTOR (FINANCE)</t>
  </si>
  <si>
    <t>SAI CENTRE CHANDIGARH</t>
  </si>
  <si>
    <t>CAPITAL FUND</t>
  </si>
  <si>
    <t>ACCRUED LIABILITIES</t>
  </si>
  <si>
    <t>others</t>
  </si>
  <si>
    <t>ADD:-LIABILITY NOT REQUIRED TO BE DISCHARGED</t>
  </si>
  <si>
    <t>LESS:-PREVIOUS YEAR ADJUSTMENT OF GPF</t>
  </si>
  <si>
    <t>ADD:-BALANCES TRANSFERRED FROM CC BHOPAL</t>
  </si>
  <si>
    <t>LESS:-BALANCES TRANSFERRED TO CHANDIGARH</t>
  </si>
  <si>
    <t>LESS:-BALANCES TRANSFERRED TO SAI CENTRE LUCKNOW</t>
  </si>
  <si>
    <t>LESS:-BALANCES TRANSFERRED TO NC SONEPAT</t>
  </si>
  <si>
    <t>SCHEDULE OF CURRENT LIABILITIES</t>
  </si>
  <si>
    <t>MEDAL FUND ACCOUNT</t>
  </si>
  <si>
    <t>SONIPAT</t>
  </si>
  <si>
    <t>LESS:-INTERNAL ADJUSTMENT</t>
  </si>
  <si>
    <t>LESS:-DEPOSITED DURING THE YEAR</t>
  </si>
  <si>
    <t>ADD:-RECOVERED DURING THE YEAR</t>
  </si>
  <si>
    <t xml:space="preserve">  II. DUE TO OTHERS</t>
  </si>
  <si>
    <t>LESS:-WRITTEN OFF &amp; SHOWN  IN THE I  &amp; E A/C DURING THE YEAR</t>
  </si>
  <si>
    <t>LESS:-REFUND DURING THE YEAR</t>
  </si>
  <si>
    <t>ADD:-RECEIVED DURING THE YEAR</t>
  </si>
  <si>
    <t xml:space="preserve"> III. OTHER DEDUCTIONS</t>
  </si>
  <si>
    <t>ADD:-INTERNAL ADJUSTMENT</t>
  </si>
  <si>
    <t>LESS:-PAID DURING THE YEAR</t>
  </si>
  <si>
    <t>ADD:- RECEIVED DURING THE YEAR</t>
  </si>
  <si>
    <t xml:space="preserve"> IV. DUE TO OTHERS (SCHEMES OTHER THAN MYA&amp;S)</t>
  </si>
  <si>
    <t>LESS:-PAYMENT MADE DURING THE YEAR TO CPWD</t>
  </si>
  <si>
    <t>LESS:-ADJUSTED AND SHOWN IN THE I &amp; E ACCOUNT</t>
  </si>
  <si>
    <t>BY DDO(HQS)</t>
  </si>
  <si>
    <t>where to be shown</t>
  </si>
  <si>
    <t>due to govt</t>
  </si>
  <si>
    <t>GANDHI</t>
  </si>
  <si>
    <t>BALEWADI</t>
  </si>
  <si>
    <t>*</t>
  </si>
  <si>
    <t>diff in op. bal,op bal of last year not shown in schedule</t>
  </si>
  <si>
    <t>EARNEST MONEY</t>
  </si>
  <si>
    <t>NETAJI SUBHAS SOUTHERN CENTRE, BANGALORE</t>
  </si>
  <si>
    <t>CENTRAL CENTRE, BHOPAL</t>
  </si>
  <si>
    <t>NETAJI SUBHAS EASTERN CENTRE, KOLKATA</t>
  </si>
  <si>
    <t>LNCPE , TRIVANDRUM</t>
  </si>
  <si>
    <t>NORTH EASTERN SUB CENTRE, GUWAHATI</t>
  </si>
  <si>
    <t>NETAJI SUBHAS WESTERN CENTRE, GANDHINAGAR</t>
  </si>
  <si>
    <t>NETAJI SUBHAS NORTHERN CENTRE, SONIPAT</t>
  </si>
  <si>
    <t xml:space="preserve"> Total:</t>
  </si>
  <si>
    <t xml:space="preserve"> CAUTION MONEY</t>
  </si>
  <si>
    <t>during the year</t>
  </si>
  <si>
    <t xml:space="preserve">AS ON </t>
  </si>
  <si>
    <t>NETAJI SUBHAS NORTH-EASTERN CENTRE, IMPHAL</t>
  </si>
  <si>
    <t>SECURITY DEPOSITS</t>
  </si>
  <si>
    <t>DDO HQ</t>
  </si>
  <si>
    <t>SAI, NS CENTRAL CENTRE BHOPAL</t>
  </si>
  <si>
    <t>SAI, NS, NIS PATIALA</t>
  </si>
  <si>
    <t>SAI, SUB CENTRE GUWAHATI</t>
  </si>
  <si>
    <t>SAI, NS, NORTHERN CENTRE SONEPAT</t>
  </si>
  <si>
    <t>SAI, NS, EASTERN CENTRE KOLKATA</t>
  </si>
  <si>
    <t>SAI, NS, NER IMPHAL</t>
  </si>
  <si>
    <t>SAI, SUB CENTRE LUCKNOW</t>
  </si>
  <si>
    <t>SAI CENTRECHANDIGARH</t>
  </si>
  <si>
    <t>SAI, LNCPE TRIVANDRUM</t>
  </si>
  <si>
    <t>SAI, NS, WESTERN CENTRE GANDHINAGAR</t>
  </si>
  <si>
    <t>`</t>
  </si>
  <si>
    <t>OPENING</t>
  </si>
  <si>
    <t>ACCRUED  DURING</t>
  </si>
  <si>
    <t>DISCHARGED/</t>
  </si>
  <si>
    <t>RECEIPTS FROM STADIA/BUILDINGS</t>
  </si>
  <si>
    <t>0104.1000 : OTHER RECEIPT</t>
  </si>
  <si>
    <t>0104.0200 : RENT FROM GUEST HOUSE/RESIDENTIAL WING</t>
  </si>
  <si>
    <t>0104.0300 : LICENCE FEES, WATER &amp; ELECTRICITY CHARGES FROM STAFF</t>
  </si>
  <si>
    <t>0104.0400 : WATER/ELECTRICITY &amp; CHARGES FROM LICENCES OTHER THAN STAFF</t>
  </si>
  <si>
    <t>0105.0100 : BANK INTEREST</t>
  </si>
  <si>
    <t>0106.0200 : BANK INTEREST RECEIVED ON CORPUS FUND</t>
  </si>
  <si>
    <t>0108.0100 : BOARDING RECEIPTS FROM STUDENTS</t>
  </si>
  <si>
    <t>0108.0300 : BOARDING RECEIPTS FROM GUESTS</t>
  </si>
  <si>
    <t>0108.0500 : OTHERS</t>
  </si>
  <si>
    <t>0109.0100 : ESTATE RECEIPTS</t>
  </si>
  <si>
    <t>0109.0800 : INTEREST ON ADVANCES</t>
  </si>
  <si>
    <t>AS ON 1/4/2010</t>
  </si>
  <si>
    <t>SCHEDULE OF FIXED ASSETS  AS ON 31ST MARCH 2011</t>
  </si>
  <si>
    <t>CATERING/BOARDING ACCOUNT</t>
  </si>
  <si>
    <t>BHOPAL</t>
  </si>
  <si>
    <t>NADA</t>
  </si>
  <si>
    <t>TOTAL</t>
  </si>
  <si>
    <t>DURING THE YEAR</t>
  </si>
  <si>
    <t xml:space="preserve">OTHERS </t>
  </si>
  <si>
    <t>ADD:- TRANSFERRED FROM REMITTANCES IN TRANSIT</t>
  </si>
  <si>
    <t>ADD:-TRANSFERRED TO/FROM ADVANCE TO STAFF</t>
  </si>
  <si>
    <t xml:space="preserve"> III. ADVANCE TO STAFF</t>
  </si>
  <si>
    <t>LESS:-BALANCES TRANSFERRED TO SAI CENTRE CHANDIGARH</t>
  </si>
  <si>
    <t>LESS:-BALANCES TRANSFERRED TO NORTHERN CENTRE SONEPAT</t>
  </si>
  <si>
    <t xml:space="preserve"> IV. ADVANCE TO DGMT (ABSC)</t>
  </si>
  <si>
    <t>LESS ADVANCE ADJUSTED &amp; SHOWN IN THE EARMARKED FUND</t>
  </si>
  <si>
    <t>LESS PRIOR PERIOD ADJUSTMENT &amp; SHOWN IN THE EARMARKED FUND</t>
  </si>
  <si>
    <t xml:space="preserve"> V. ADVANCE TO ADOPTED SCHOOLS</t>
  </si>
  <si>
    <t>LESS:-RECEIVED  DURING THE YEAR</t>
  </si>
  <si>
    <t>ADD:-PAID DURING THE YEAR</t>
  </si>
  <si>
    <t>LESS:-ADJUSTED DURING THE YEAR</t>
  </si>
  <si>
    <t>ok</t>
  </si>
  <si>
    <t xml:space="preserve"> V. TDS PAYABLE BY SAI</t>
  </si>
  <si>
    <t>FUND RECEIVED</t>
  </si>
  <si>
    <t>ADD:-TDS AS PER RECEIPT &amp; PAYMENT ACCOUNT</t>
  </si>
  <si>
    <t>ADD:-TDS  ON ACCRUED INCOME</t>
  </si>
  <si>
    <t>DUE FROM GOVT</t>
  </si>
  <si>
    <t>Chandigarh</t>
  </si>
  <si>
    <t>LOTTERY FUND</t>
  </si>
  <si>
    <t xml:space="preserve">OPENING BALANCE </t>
  </si>
  <si>
    <t>UGC FUND</t>
  </si>
  <si>
    <t>DEPOSIT MADE</t>
  </si>
  <si>
    <t>NS EASTERN CENTRE KOLKATA</t>
  </si>
  <si>
    <t>NS SOUTHERN CENTRE BANGALORE</t>
  </si>
  <si>
    <t>NS WC GANDHINAGAR</t>
  </si>
  <si>
    <t>NS NIS PATIALA</t>
  </si>
  <si>
    <t>NS CENTRAL CENTRE BHOPAL</t>
  </si>
  <si>
    <t>LESS:-ADJUSTED AND SHOWN AS EXP.IN I &amp; E ACCOUNT</t>
  </si>
  <si>
    <t>OPENING AS ON</t>
  </si>
  <si>
    <t>FUND RELEASED</t>
  </si>
  <si>
    <t>REMITTANCE</t>
  </si>
  <si>
    <t>IN TRANSIT</t>
  </si>
  <si>
    <t>STC</t>
  </si>
  <si>
    <t xml:space="preserve">NER IMPHAL </t>
  </si>
  <si>
    <t>NS SUB-CENTRE LUCKNOW</t>
  </si>
  <si>
    <t>RELEASED BY FINANCE DIVISION AT HEAD OFFICE</t>
  </si>
  <si>
    <t>TO VARIOUS UNITS/CENTRES</t>
  </si>
  <si>
    <t>SAI TALENT SCOUTING &amp; MONITORING CELL,</t>
  </si>
  <si>
    <t>JAMSHED PUR AND JODHPUR</t>
  </si>
  <si>
    <t>SOUTHERN CENTRE BANGALORE FOR PLAN</t>
  </si>
  <si>
    <t>***</t>
  </si>
  <si>
    <t>TRIVADNRUM</t>
  </si>
  <si>
    <t>DDO</t>
  </si>
  <si>
    <t xml:space="preserve">GPF DEDUCTION AND DEPOSITED AND REVOLVING FUND </t>
  </si>
  <si>
    <t>TRANSFERRED TO OPENING FOR REVOLVING FUND</t>
  </si>
  <si>
    <t>GPF DEDUCTION MADE DURING THE YEAR</t>
  </si>
  <si>
    <t xml:space="preserve"> GPF DEDUCTION REMITTED DURING THE YEAR</t>
  </si>
  <si>
    <t>RECOUPMENT RECEIVED FROM NIS PATIALA</t>
  </si>
  <si>
    <t>ADVANCE PAID OUT OF REVOLVING FUND</t>
  </si>
  <si>
    <t>LESS: ADJUSTMENT OF PREVIOUS YEAR OF GPF</t>
  </si>
  <si>
    <t>PREMIUM RECOVERED DURING THE YEAR</t>
  </si>
  <si>
    <t>REMITTED TO GSLIC CELL DURING THE YEAR</t>
  </si>
  <si>
    <t>FINAL PAYMENT CLAIM RECEIVED FROM LIC AUTHORITIES</t>
  </si>
  <si>
    <t>GSLIS CONTRIBUTION RECEIVED FROM UNITS/CENTRES</t>
  </si>
  <si>
    <t xml:space="preserve">PREMIUM DEPOSIT WITH LIC  </t>
  </si>
  <si>
    <t>GSLIS ADJUSTED</t>
  </si>
  <si>
    <t>TDS DEDUCTED</t>
  </si>
  <si>
    <t xml:space="preserve"> Head of Account</t>
  </si>
  <si>
    <t>PAY &amp; ALLOWANCES</t>
  </si>
  <si>
    <t>SUPPLY OF NON CONSUMABLE SPORTS EQUIPMENTS FOR VARIOUS</t>
  </si>
  <si>
    <t>RURAL SPORTS PROGRAMMES (PYKKA NER)</t>
  </si>
  <si>
    <t>SPORTS EQUIPMENTS FOR NATIONAL TEAMS</t>
  </si>
  <si>
    <t>III NATIONAL GAMES</t>
  </si>
  <si>
    <t>SPORTS AWARDS TO WINNERS OF INTERNATIONAL SPORTS EVENTS</t>
  </si>
  <si>
    <t>SUPPLY OF SPORTS EQUIPMENTS TO UNIVERSITIES</t>
  </si>
  <si>
    <t>SPORTS SCHOLARSHIP SCHEMES</t>
  </si>
  <si>
    <t>ASIAD-94 (SPORTS EQUIPMENTS)</t>
  </si>
  <si>
    <t>SCIENTIFIC EQUIPMENT (PART ASIAD-94)</t>
  </si>
  <si>
    <t>IMPORTS OF SPORTS EQUIPMENT</t>
  </si>
  <si>
    <t>HOCKEY SEMINAR</t>
  </si>
  <si>
    <t xml:space="preserve">EXPENDITURE ON PARLIAMENTARY STANDING COMMITTEE </t>
  </si>
  <si>
    <t>50TH ANNIVERSARY OF INDIA INDEPENDENCE</t>
  </si>
  <si>
    <t>STSS (NSO)</t>
  </si>
  <si>
    <t>WORLD POPULATION DAY</t>
  </si>
  <si>
    <t>SPORTS EXHIBITION (NATIONAL SPORTS DAY)</t>
  </si>
  <si>
    <t>GERMAN FESTIVAL IN INDIA'</t>
  </si>
  <si>
    <t>ASSISTANCE TO SAI OFFICIALS</t>
  </si>
  <si>
    <t>TALENT SEARCH &amp; TRAINING</t>
  </si>
  <si>
    <t>PERSONNELS</t>
  </si>
  <si>
    <t>TA/DA TO ARJUNA AND SPECIAL AWARDEES</t>
  </si>
  <si>
    <t>NATIONAL DAY RACE</t>
  </si>
  <si>
    <t>RUN FOR LAND</t>
  </si>
  <si>
    <t>WOMEN EMPOWERMENTYEAR</t>
  </si>
  <si>
    <t>DOPE TEST EQUIPMENTS(NDTL)</t>
  </si>
  <si>
    <t>SALARIES TO FOREIGN COACHES</t>
  </si>
  <si>
    <t>NATIONAL SPORTS FESTIVAL FOR WOMEN</t>
  </si>
  <si>
    <t>TAO DONER FOOTVALL TOURNAMENTS</t>
  </si>
  <si>
    <t>PROMOTION OF SPORTS &amp; GAMES IN SCHOOLS (NER)</t>
  </si>
  <si>
    <t>SPORTS SCHOLARSHIP SCHEMES (NER)</t>
  </si>
  <si>
    <t>TA/DA/LOCAL TRANSPORTS ETC.FOR APEX COMMITTEE</t>
  </si>
  <si>
    <t>FOR COMMONWEALTH GAMES 2010</t>
  </si>
  <si>
    <t>(R.K.CHOPRA)</t>
  </si>
  <si>
    <t>TRIVANDRUM</t>
  </si>
  <si>
    <t>HEAD OF ACCOUNTS</t>
  </si>
  <si>
    <t>YEAR(2009-10)</t>
  </si>
  <si>
    <t>SCHEDULE OF SECURITY DEPOSIT AS ON 31.3.2011</t>
  </si>
  <si>
    <t>SCHEDULE OF REMITTANES IN TRANSIT AS ON 31ST MARCH, 2011</t>
  </si>
  <si>
    <t>SCHEDULE OF ACCRUED ASSETS/PREPAID EXPENSES AS ON 31ST MARCH 2011</t>
  </si>
  <si>
    <t>SCHEDULE FOR GPF &amp; OTHER WELFARE FUND</t>
  </si>
  <si>
    <t>CURRENT</t>
  </si>
  <si>
    <t>PREVIOUS</t>
  </si>
  <si>
    <t xml:space="preserve"> </t>
  </si>
  <si>
    <t>SAI(HQS)</t>
  </si>
  <si>
    <t xml:space="preserve">SAI, NS, EASTERN CENTRE KOLKATA </t>
  </si>
  <si>
    <t>SAI, NS, CENTRAL CENTRE, BHOPAL</t>
  </si>
  <si>
    <t xml:space="preserve">SAI NS, WESTERN CENTRE, GANDHINAGAR </t>
  </si>
  <si>
    <t>SAI SUBB CENTRE LUCKNOW</t>
  </si>
  <si>
    <t>SAI, NS, NORTH EAST REGIONAL CENTRE, IMPHAL</t>
  </si>
  <si>
    <t xml:space="preserve"> 2009-2010</t>
  </si>
  <si>
    <t xml:space="preserve">  I. ADVANCE FOR MAINTENANCE</t>
  </si>
  <si>
    <t>ADD ADVANCE PAID DURING THE YEAR</t>
  </si>
  <si>
    <t>LESS ADVANCE ADJUSTED &amp; SHOWN IN THE INCOME &amp; EXPENDITURE ACCOUNT DURING THE YEAR</t>
  </si>
  <si>
    <t xml:space="preserve">  II. ADVANCE TO PRIVATE PARTIES</t>
  </si>
  <si>
    <t>ADD:-ADVANCE PAID DURING THE YEAR</t>
  </si>
  <si>
    <t>LESS:-ADVANCE ADJUSTED DURING THE YEAR</t>
  </si>
  <si>
    <t>HEAD OFFICE, JN STADIUM,</t>
  </si>
  <si>
    <t>GRANT TOTAL</t>
  </si>
  <si>
    <t>LUCKNOW</t>
  </si>
  <si>
    <t>CHANDIGARH</t>
  </si>
  <si>
    <t>OPENING BALANCE</t>
  </si>
  <si>
    <t>PREPARED BY</t>
  </si>
  <si>
    <t>01241300   PUBLICITY &amp; ADVERTISEMENT</t>
  </si>
  <si>
    <t>0124.1400 : POSTAGE &amp; TELEGRAM</t>
  </si>
  <si>
    <t>0124.1500 FAX/TELAX/TELEPHONE CHARGES</t>
  </si>
  <si>
    <t xml:space="preserve"> 0124.1700    PRINTING &amp; STATIONERY</t>
  </si>
  <si>
    <t>01241800    REPAIRS OF FURNITURE &amp; FIXTURE</t>
  </si>
  <si>
    <t>01241900   REPAIR &amp; OTHER MAINTENANCE . OF OFFICE VEHICLE</t>
  </si>
  <si>
    <t>01242000   EXP.ON PETROL/DIESEL FOR OFFICE VEHICLES</t>
  </si>
  <si>
    <t xml:space="preserve"> 01242100    LEGAL FEE CHARGES</t>
  </si>
  <si>
    <t>01242200   AUDIT FEE</t>
  </si>
  <si>
    <t>CENTRAL CENTRE BHOPAL</t>
  </si>
  <si>
    <t>01242300    PAY &amp; PLAY</t>
  </si>
  <si>
    <t>01242600  OTHER MISC.EXPENSES/INSURANCE CHARGES</t>
  </si>
  <si>
    <t>01242400  HOSPITALITY</t>
  </si>
  <si>
    <t>0124.2500  HIRE OF VEHICLE/CONVEYANCE/TRANSPORT</t>
  </si>
  <si>
    <t>0123.0900   SECURITY ARRANGEMENTS</t>
  </si>
  <si>
    <t>NS WESTERN CENTRE GANDHINAGAR</t>
  </si>
  <si>
    <t xml:space="preserve">01231000    WATER CHARGES  </t>
  </si>
  <si>
    <t xml:space="preserve">0123.1100   ELECTRICITY CHARGES  </t>
  </si>
  <si>
    <t>01231300 Other Expenditure of Guest house</t>
  </si>
  <si>
    <t>0123.1600  OTHERS (CLEANING)</t>
  </si>
  <si>
    <t>0124.0100   SALARIES</t>
  </si>
  <si>
    <t xml:space="preserve"> 0124.0200   TRAVELLING EXPENSES (DOMESTIC)</t>
  </si>
  <si>
    <t>0124.0400   LTC/HTC (ESTABLISHMENT)</t>
  </si>
  <si>
    <t>01240500  BONUS</t>
  </si>
  <si>
    <t>01240600  MEDICAL EXPENSES (ESTABLISHMENT)</t>
  </si>
  <si>
    <t xml:space="preserve"> 0124.0700    OTA/HONORARIUM</t>
  </si>
  <si>
    <t>01240900   MEETING &amp; SEMINARS</t>
  </si>
  <si>
    <t>01241000  UNIFORM / LIVERIES</t>
  </si>
  <si>
    <t>01241100  MAINTENANCE  OF OFFICE EQUIPMENT.</t>
  </si>
  <si>
    <t>01241200  LIBRARY &amp; AUDIO VISUAL/NEWS PAPER/JOURNALS &amp;PERIODICALS</t>
  </si>
  <si>
    <t>DDO(HQS)</t>
  </si>
  <si>
    <t>MAINTENANCE OF STADIA/BUILDING</t>
  </si>
  <si>
    <t>SPORTS PROMOTIONAL &amp; DEVELOPMENT ACTIVITIES</t>
  </si>
  <si>
    <t>GRAND TOTAL:-</t>
  </si>
  <si>
    <t>OTHERS</t>
  </si>
  <si>
    <t>CLOSING BALANCE</t>
  </si>
  <si>
    <t xml:space="preserve">DDO(HQS) </t>
  </si>
  <si>
    <t>STC,COE, SAG (OTHERS)</t>
  </si>
  <si>
    <t>TELEPHONE</t>
  </si>
  <si>
    <t>UPGRADATIONS</t>
  </si>
  <si>
    <t>ASSETS CRETED OUT OF ASIAN GAMES GRANT</t>
  </si>
  <si>
    <t>NIS PAITALA</t>
  </si>
  <si>
    <t>LAYING OF SYNTHETIC SURFACE</t>
  </si>
  <si>
    <t>NON CONSUMABLE</t>
  </si>
  <si>
    <t>PURCHASE OF AC PLANT</t>
  </si>
  <si>
    <t>SCHEDULE</t>
  </si>
  <si>
    <t>DEDUCTION TO BE PASSED ON TO OTHER DEPARTMENTS</t>
  </si>
  <si>
    <t>GRAND TOTAL</t>
  </si>
  <si>
    <t>SAI,NS, EASTERN CENTRE, KOLKATA</t>
  </si>
  <si>
    <t>SAI,NS, NORTHERN CENTRE, SONEPAT</t>
  </si>
  <si>
    <t>SAI,NS, NORTH-EASTERN CENTRE, IMPHAL</t>
  </si>
  <si>
    <t>SAI,NS, WESTERN CENTRE, GANDHINAGAR</t>
  </si>
  <si>
    <t>SAI,LNCPE , TRIVANDRUM</t>
  </si>
  <si>
    <t>SAI,NS,NIS PATIALA</t>
  </si>
  <si>
    <t>SAI CENTRE LUCKNOW</t>
  </si>
  <si>
    <t>GSLIS, DELHI</t>
  </si>
  <si>
    <t>PROMOTION OF SPORTS &amp; GAMES IN SCHOOLS</t>
  </si>
  <si>
    <t>NATIONAL COACHING CAMP</t>
  </si>
  <si>
    <t>NORTH EAST SPORTS FESTIVAL</t>
  </si>
  <si>
    <t>OP.BALANCE</t>
  </si>
  <si>
    <t>LPC ISSUED</t>
  </si>
  <si>
    <t>Transferred From Other Centres</t>
  </si>
  <si>
    <t>LPC RECEIVED</t>
  </si>
  <si>
    <t>I &amp; E  A/C</t>
  </si>
  <si>
    <t>CL.BALANCE</t>
  </si>
  <si>
    <t>CC BHOPAL</t>
  </si>
  <si>
    <t>DDO-HQ</t>
  </si>
  <si>
    <t>DDO-INFRA</t>
  </si>
  <si>
    <t>SAI-HQ</t>
  </si>
  <si>
    <t xml:space="preserve">ADD:-BALANCES TRANSFERRED FROM CC BHOPAL </t>
  </si>
  <si>
    <t>KOLKATTA</t>
  </si>
  <si>
    <t>ADD:-BALANCES TRANSFERRED FROM NC SONEPAT</t>
  </si>
  <si>
    <t>BANGLORE</t>
  </si>
  <si>
    <t>ADD:-LPC ADOPTED DURING THE YEAR</t>
  </si>
  <si>
    <t>GANDHI NGR</t>
  </si>
  <si>
    <t>LESS:-DEPRECIATION  ADJUSTED PREVIOUS YEAR</t>
  </si>
  <si>
    <t>LESS:- REFUND RECEIVED FROM ADOPTED SCHOOL</t>
  </si>
  <si>
    <t>AMOUNT</t>
  </si>
  <si>
    <t>PUNE BELIVADI</t>
  </si>
  <si>
    <t>MONEY</t>
  </si>
  <si>
    <t>TO CAUTION</t>
  </si>
  <si>
    <t>FROM SECURITY</t>
  </si>
  <si>
    <t>DEPOSIT</t>
  </si>
  <si>
    <t>TO LUCKNOW</t>
  </si>
  <si>
    <t>CAUTION MONEY</t>
  </si>
  <si>
    <t>SECURITY DEP.</t>
  </si>
  <si>
    <t>0FF</t>
  </si>
  <si>
    <t>DDO(HQ)</t>
  </si>
  <si>
    <t>INTERNAL</t>
  </si>
  <si>
    <t>YEAR ADJUSTMENT</t>
  </si>
  <si>
    <t>adjustment of CF</t>
  </si>
  <si>
    <t>liab.written off</t>
  </si>
  <si>
    <t>accrued assets write of</t>
  </si>
  <si>
    <t>summer coaching camp</t>
  </si>
  <si>
    <t>advance for maintenance</t>
  </si>
  <si>
    <t>due from govt</t>
  </si>
  <si>
    <t>p.y adjust. For endo. Fund</t>
  </si>
  <si>
    <t>sales tax written off</t>
  </si>
  <si>
    <t>p.y adjustment of a.p</t>
  </si>
  <si>
    <t>ADVANCE TRANSFERRED FROM OTHER CENTRE</t>
  </si>
  <si>
    <t>LESS:WRITTEN OFF</t>
  </si>
  <si>
    <t>SCHEDULE FOR AMOUNT DUE TO/FROM GOVT AS ON 31.3.2011</t>
  </si>
  <si>
    <t>0124.2700 : LICENCE FEES</t>
  </si>
  <si>
    <t>LICENCE FEES</t>
  </si>
  <si>
    <t>SAI(HQ)</t>
  </si>
  <si>
    <t>ADD:-ADVANCE TRANSFERRED FROM SAI CENTRE LUCKNOW</t>
  </si>
  <si>
    <t>LESS: ADVANCE  TRANSFERRED TO CC BHOPAL</t>
  </si>
  <si>
    <t>LESS:-ADVANCE  TRANSFERRED TO SAI CENTRE LUCKNOW</t>
  </si>
  <si>
    <t>ADD:-ADVANCE TRANSFERRED FROM CC BHOPAL</t>
  </si>
  <si>
    <t>LESS:-INTERNAL ADJUSTMENT OF ADVANCE TO STAFF</t>
  </si>
  <si>
    <t>LESS:- ADJUSTMENT OF PREVIOUS YEAR ADVANCE FOR MAINTENANCE</t>
  </si>
  <si>
    <t>LESS:-ADVANCE TRANSFERRED TO LUCKNOW</t>
  </si>
  <si>
    <t>LESS:-ADVANCE TRANSFERRED FROM LUCKNOW TO BHOPAL</t>
  </si>
  <si>
    <t>ADD:-ADJUSTMENT  OF P.Y OF SUMMER COACHING CAMP</t>
  </si>
  <si>
    <t>p.year adjustment of fdr</t>
  </si>
  <si>
    <t xml:space="preserve">ADJUSTMENT OF </t>
  </si>
  <si>
    <t xml:space="preserve">SAI EXTENSION </t>
  </si>
  <si>
    <t>CENTRE</t>
  </si>
  <si>
    <t>FROM</t>
  </si>
  <si>
    <t>SAI EXTENSION CENTRE</t>
  </si>
  <si>
    <t>LESS:- ADJUSTMENT OF CORPUS FUND</t>
  </si>
  <si>
    <t>ADD:- ACCRUED LIABILITIES WRITTEN OFF</t>
  </si>
  <si>
    <t>LESS:- ACCRUED  ASSETS WRITTEN OFF</t>
  </si>
  <si>
    <t>ADD:- OTHERS</t>
  </si>
  <si>
    <t>ADD:- AMOUNT TRANSFERRED FROM LUCKNOW TO BHOPAL</t>
  </si>
  <si>
    <t>ADD:- LIABILITIES TRANSFERRED FROM BHOPAL TO LUCKNOW(SD)</t>
  </si>
  <si>
    <t>LESS:- PREVIOUS YEAR ADJUSTMENT FOR ENDOWMENT FUND</t>
  </si>
  <si>
    <t>ADD:- PREVIOUS YEAR ADJUSTMENT OF FDR</t>
  </si>
  <si>
    <t>ADD:- SALES TAX WRITTEN OFF</t>
  </si>
  <si>
    <t>ADD:- PREVIOUS YEAR ADJUSTMENT OF  AMOUNT PAYABLE</t>
  </si>
  <si>
    <t>REFUND RECEIVED</t>
  </si>
  <si>
    <t>FUND</t>
  </si>
  <si>
    <t>FOR SYNTHETIC SURFACE(NIS PATIALA)</t>
  </si>
  <si>
    <t>SALARIES TO FOREIGN COACHES(CONTRACT)</t>
  </si>
  <si>
    <t>P.Y.ADDJUSTMENT</t>
  </si>
  <si>
    <t>UPGRATION OF HOSTEL FACILITIES</t>
  </si>
  <si>
    <t>VIDEO CAMERA</t>
  </si>
  <si>
    <t>PARLIAMENTARY COMMITTEE VISIT</t>
  </si>
  <si>
    <t>RURAL SPORTS PROGRAM</t>
  </si>
  <si>
    <t xml:space="preserve">RURAL SPORTS PROGRAMMES </t>
  </si>
  <si>
    <t>FROM KOLKATA</t>
  </si>
  <si>
    <t>FROM DDO</t>
  </si>
  <si>
    <t>FROM PATIALA</t>
  </si>
  <si>
    <t xml:space="preserve">DUE FROM VARIOUS STATES FOR SUPPLY OF EQUIPMENTS </t>
  </si>
  <si>
    <t>GOLD CUP REC</t>
  </si>
  <si>
    <t>SPORTS EQUIPMENT 100% SUBSIDY</t>
  </si>
  <si>
    <t>VISIT</t>
  </si>
  <si>
    <t>NONS SUBS EQUIPMENT</t>
  </si>
  <si>
    <t>NIS TOURNAMENT</t>
  </si>
  <si>
    <t>PYAKKA DUE FROM PATIALA</t>
  </si>
  <si>
    <t>NATIONAL SPORTS DAY</t>
  </si>
  <si>
    <t>NIS PATIALA SCHOLARSHIP</t>
  </si>
  <si>
    <t>NO TOBBACO DAY RACE</t>
  </si>
  <si>
    <t>FUND TRANSFERRED</t>
  </si>
  <si>
    <t>TO GANDHINAGAR</t>
  </si>
  <si>
    <t xml:space="preserve">REFUND </t>
  </si>
  <si>
    <t>ADVANCE PAYMENT OF GSLIS</t>
  </si>
  <si>
    <t>PAYMENT TO LNCPE TRIVENDRAM FOR GSLIS</t>
  </si>
  <si>
    <t>DEDUCTION OF GSLISTO BE SENT TO LNCPE TRIVENDRAM</t>
  </si>
  <si>
    <t>PAYMENT OF FINAL SETTLEMENT (LIC)(REGIONAL CENTRE)</t>
  </si>
  <si>
    <t>INTEREST AGAINST</t>
  </si>
  <si>
    <t>ACCRUED INCOME</t>
  </si>
  <si>
    <t>LESS:-TRANSFER TO AMOUNT RECEIVABLE</t>
  </si>
  <si>
    <t>TRANSFER FROM AMOUNT PAYABLE</t>
  </si>
  <si>
    <t>ADD:-ASSETS CREATED OUT OF CWG DURING 2009-2010</t>
  </si>
  <si>
    <t>CREATED</t>
  </si>
  <si>
    <t>DURING 09-10</t>
  </si>
  <si>
    <t>ADJUSTMENT OF DEP.</t>
  </si>
  <si>
    <t>NRAI UNDER CWG</t>
  </si>
  <si>
    <t>FOR NSDF (GOLD MEDLIST UNDER ASIAN GAME 2010</t>
  </si>
  <si>
    <t>EXPENSES ON AWARDEE FUNCTIONS</t>
  </si>
  <si>
    <t>MYAS FOR QUOBA DELEGATIONS</t>
  </si>
  <si>
    <t>FOR ECIL SECURITY SOLUTIONS UNDER CWG-10</t>
  </si>
  <si>
    <t>ASIAD1994</t>
  </si>
  <si>
    <t>REFUND TO</t>
  </si>
  <si>
    <t>1ST SOUTH ASIAN GAME TO BE HELD AT DEHRADOON</t>
  </si>
  <si>
    <t>DONER</t>
  </si>
  <si>
    <t>FINANCIAL ASSISTANCE FOR NSDF FOR ADDITIONAL FACILITIES</t>
  </si>
  <si>
    <t>FUND FOR TALENT SEARCH AND TRAINING</t>
  </si>
  <si>
    <t>FUND FOR PYKKA</t>
  </si>
  <si>
    <t>REFUND OF FUND TO</t>
  </si>
  <si>
    <t>MYAS</t>
  </si>
  <si>
    <t>TO OC UNDER CWG 2010</t>
  </si>
  <si>
    <t>LAWN BOWLING AT DPS R K PURAM</t>
  </si>
  <si>
    <t xml:space="preserve">SCHEME OF DOPE TEST </t>
  </si>
  <si>
    <t>ASIAN GAME 2010</t>
  </si>
  <si>
    <t>FUND FROM MYAS FOR SPORTS EQUIPMENT (75:25) GYM SET</t>
  </si>
  <si>
    <t>FUND FROM MYAS FOR IKCA TRAINING CUM COMPETITION EXPLOSURE</t>
  </si>
  <si>
    <t>FUND FOR FITNESS EQUIPMENT FOR HOSTEL BUILDING AT JNS</t>
  </si>
  <si>
    <t>FOR OC CWG 10 FOR SPORTS EQUIPMENT</t>
  </si>
  <si>
    <t>FOR STPI DELHI FOR CWG 10</t>
  </si>
  <si>
    <t>FOR CWG 2010 (ONWARD RELEASE TO OC FOR PROCUREMENT OF TARGET SCORING SYSTEM</t>
  </si>
  <si>
    <t>FOR NSDF (EXPENDITURE ON GOLD MEDLIST ASIAN GAME 2010</t>
  </si>
  <si>
    <t>TRAINING ARA</t>
  </si>
  <si>
    <t>GANTANTRA GAURAV</t>
  </si>
  <si>
    <t>RURAL SPORTS PROGRAMMES (PYKKA )</t>
  </si>
  <si>
    <t>ASIAD 98/1ST COMMON WEALTH GAME</t>
  </si>
  <si>
    <t>FOR COMMONWEALTH GAMES 2010(ONWARD RELEASE TO OC FOR PERCUMENT OF TARGET SCORING</t>
  </si>
  <si>
    <t>LESS:-ADJUSTMENT OF REMITTANCES TO SAI EXTENSION CENTRE</t>
  </si>
  <si>
    <t>IKCA TRAINING CUM EXPLOSURE FOR PREPARATION FOR THE ASIAN GAME 2010</t>
  </si>
  <si>
    <t xml:space="preserve"> UPGRADATION OF HOCKEY AREA AT NS NIS PATIALA</t>
  </si>
  <si>
    <t>PERCUMENT OF SPORTS EQUP. FOR ONWARD RELEASE TO OC CWG 2010</t>
  </si>
  <si>
    <t>NSDF (EXPENDITURE ON GOLD MEDLIST ASIAN GAME 2010</t>
  </si>
  <si>
    <t>NATIONAL SPORTS FESTIVAL FOR WOMEN(PYAKKA)</t>
  </si>
  <si>
    <t>DIFF</t>
  </si>
  <si>
    <t>NEW</t>
  </si>
  <si>
    <t>DUE TO</t>
  </si>
  <si>
    <t>DUE FROM</t>
  </si>
  <si>
    <t>ADD:- PREVIOUS YEAR ADJUSTMENT OF DUE TO GOVT.</t>
  </si>
  <si>
    <t>LESS:- PREVIOUS YEAR ADJUSTMENT OF DUE FROM GOVERNMENT</t>
  </si>
  <si>
    <t>As per ledger  not enclosed with annual accounts</t>
  </si>
  <si>
    <t>NATIONAL COACHING CAMP AND ASIAN GAMES-2010</t>
  </si>
  <si>
    <t>UNDER CWG-2010</t>
  </si>
  <si>
    <t>FUND FOR FITNESS EQUIPMENT FOR HOSTEL BUILDING AT JNS &amp; IGS</t>
  </si>
  <si>
    <t>LESS:-ADJUSTMENT OF PRIOR PERIOD FDR</t>
  </si>
  <si>
    <t>FUND FOR RENOVATION OF SAI STADIAS IN DELHI</t>
  </si>
  <si>
    <t>NSNIS PATIALA</t>
  </si>
  <si>
    <t xml:space="preserve">PREVIOUS YEAR ADJUSTMENT OF ADVANCE FOR MAINTENANCE </t>
  </si>
  <si>
    <t>ADJUSTMENT OF EARMARKED FUND</t>
  </si>
  <si>
    <t>(GOPAL KRISHNA</t>
  </si>
  <si>
    <t>ADD:-ADJUSTED AND SHOWN IN THE i &amp; E ACCOUNTS (bs)</t>
  </si>
  <si>
    <t>Less:- adjusted and shown in the Income &amp; Expenditure  Accounts</t>
  </si>
  <si>
    <t>BALANCE AS ON 31.3.2011</t>
  </si>
  <si>
    <t>LESS:-FDR  WITH BANK AGAINST ACTUARIAL LIABILITIES</t>
  </si>
  <si>
    <t>INDEX</t>
  </si>
  <si>
    <t>PAGE</t>
  </si>
  <si>
    <t>NO.</t>
  </si>
  <si>
    <t>BALANCE SHEET</t>
  </si>
  <si>
    <t>SCHEDULE ATTACHED TO BALANCE SHEET</t>
  </si>
  <si>
    <t>OTHER (UGC)</t>
  </si>
  <si>
    <t>ADVANCE TO CONSTRUCITON AGENCIES FOR CWG-10</t>
  </si>
  <si>
    <t>DETAILS OF FIXED ASSETS</t>
  </si>
  <si>
    <t>SECURITY DEPOSIT</t>
  </si>
  <si>
    <t>GRATUITY, LEAVE ENCASHMENT (PLAN AND NON PLAN)</t>
  </si>
  <si>
    <t>PROVISION MADE FOR PENSION GRATUITY, LEAVE</t>
  </si>
  <si>
    <t>ENCASHMENT (PLAN AND NON PLAN)</t>
  </si>
  <si>
    <t>PROVISION MADE FOR PENSION, GRATUITY, LEAE ENCAHSMENT</t>
  </si>
  <si>
    <t>UNDER PLAN AND NON PLAN</t>
  </si>
  <si>
    <t>HEAD OFFICE (PROVISION FOR GRATUITY, PENSION</t>
  </si>
  <si>
    <t>AND LEAVE ENCASHMENT</t>
  </si>
  <si>
    <t>(PLAN AND NON PLAN)</t>
  </si>
  <si>
    <t>NOTES ON ACCOUNTS</t>
  </si>
  <si>
    <t>NOs.</t>
  </si>
  <si>
    <t xml:space="preserve">LESS:-ADJUSTED AND SHOWN IN THE CAPITAL FUND IN THE </t>
  </si>
  <si>
    <t>ADD:-EXCESS OF INCOME OVER EXPENDITURE</t>
  </si>
  <si>
    <t>SURPLUS TRANSFERRED FROM THE INCOME &amp;</t>
  </si>
  <si>
    <t>EXPENDITURE ACCOUNTS</t>
  </si>
  <si>
    <t>SCHEDULE FOR CAPITAL FUND</t>
  </si>
  <si>
    <t>ADD:-ADJUSTED  &amp; TRANSFERRED FROM CAPITAL GRANT</t>
  </si>
  <si>
    <t>ADD:-FIXED ASSETS CREATED DURING THE YEAR FOR CWG-2010</t>
  </si>
  <si>
    <t>ADD:-FIXED ASSETS CREATED DURING THE YEAR FOR ASIAN GAMES  UNDER NCC</t>
  </si>
  <si>
    <t>ADD:-ASSSETS CREATED OUT OF CWG DURING 2009-2010</t>
  </si>
  <si>
    <t>ADD:-PREVIOUS YEAR DEPRECIATION ADJUSTMENT</t>
  </si>
  <si>
    <t>CURRENT LIABILITIES &amp; PROVISIONS</t>
  </si>
  <si>
    <t>a) CAPITAL GRANT</t>
  </si>
  <si>
    <t>1(a)</t>
  </si>
  <si>
    <t>b) CAPITAL FUND</t>
  </si>
  <si>
    <t>1(b)</t>
  </si>
  <si>
    <t xml:space="preserve">a) CURRENT LIABILITIES </t>
  </si>
  <si>
    <t>b) AMOUNT PAYABLE</t>
  </si>
  <si>
    <t>c) SECURITY/CAUTION/EARNEST MONEY DEPOSIT</t>
  </si>
  <si>
    <t xml:space="preserve">d) ACCRUED LIABILITIES </t>
  </si>
  <si>
    <t>CURRENT ASSETS, LOANS &amp; ADVANCES</t>
  </si>
  <si>
    <t xml:space="preserve">a) CLOSING BALANCE </t>
  </si>
  <si>
    <t>b) BALANCE FOR FRANKING MACHINE</t>
  </si>
  <si>
    <t>SCHEDULE-"1 (A)"</t>
  </si>
  <si>
    <t>SCHEDULE-"1 (B)"</t>
  </si>
  <si>
    <t>SCHEDULE FOR BALANCE FOR FRANKING MACHINE</t>
  </si>
  <si>
    <t>CORPUS/CAPITAL FUND</t>
  </si>
  <si>
    <t>1©</t>
  </si>
  <si>
    <t>e) GPF &amp; OTHER WELFARE FUND</t>
  </si>
  <si>
    <t>f) OTHERS(UGC)</t>
  </si>
  <si>
    <t>g) EARMARKED FUND (PLAN)</t>
  </si>
  <si>
    <t>7(a)</t>
  </si>
  <si>
    <t>7(b)</t>
  </si>
  <si>
    <t>7©</t>
  </si>
  <si>
    <t>7(d)</t>
  </si>
  <si>
    <t>7(f)</t>
  </si>
  <si>
    <t>7(g)</t>
  </si>
  <si>
    <t>7(h)</t>
  </si>
  <si>
    <t>7(i)</t>
  </si>
  <si>
    <t>INVESTMENTS - OTHERS</t>
  </si>
  <si>
    <t>11 (a)</t>
  </si>
  <si>
    <t>11 (b)</t>
  </si>
  <si>
    <t>11 (d)</t>
  </si>
  <si>
    <t>11 (f)</t>
  </si>
  <si>
    <t>11 (g)</t>
  </si>
  <si>
    <t>11 (h)</t>
  </si>
  <si>
    <t>11 (i)</t>
  </si>
  <si>
    <t>11 (j)</t>
  </si>
  <si>
    <t>11 (k)</t>
  </si>
  <si>
    <t>11 (l)</t>
  </si>
  <si>
    <t>c) GPF &amp; OTHER WELFARE FUND</t>
  </si>
  <si>
    <t>d) LOANS &amp; ADVANCES</t>
  </si>
  <si>
    <t>e) AMOUNT RECEIVABLE</t>
  </si>
  <si>
    <t>f) OTHERS</t>
  </si>
  <si>
    <t xml:space="preserve">g) SEUCURITY  DEPOSIT </t>
  </si>
  <si>
    <t>h) ADVANCE FOR CAPITAL WORK/MAINTENANCE</t>
  </si>
  <si>
    <t>i) REMITTANCES IN TRANSIT</t>
  </si>
  <si>
    <t>j) GPF &amp; GSLIS PREMIUM</t>
  </si>
  <si>
    <t>k) ACCRUED ASSETS/PREPAID EXPENSES</t>
  </si>
  <si>
    <t>l) ADVANCE TO CONSTRUCTION AGENCIES FOR</t>
  </si>
  <si>
    <t>11 (c)</t>
  </si>
  <si>
    <t>11 (e)</t>
  </si>
  <si>
    <t>ANNEXURE - "A"</t>
  </si>
  <si>
    <t>7(e)</t>
  </si>
  <si>
    <t>SCHEDULE-"7 (A)"</t>
  </si>
  <si>
    <t>SCHEDULE-"7 (B)"</t>
  </si>
  <si>
    <t>BALANCE SHEET FOR THE FY 2010-11</t>
  </si>
  <si>
    <t>ANNEXURE-"A"</t>
  </si>
  <si>
    <t>INCOME &amp; EXPENDITURE STATEMENT FOR THE PERIOD</t>
  </si>
  <si>
    <t>ANNEXURE-"B"</t>
  </si>
  <si>
    <t xml:space="preserve"> SCHEDULE TO THE BALANCE SHEET </t>
  </si>
  <si>
    <t>ANNEXURE-"C"</t>
  </si>
  <si>
    <t>SCHEDULE TO THE INCOME &amp; EXPENDITURE ACCOUNTS</t>
  </si>
  <si>
    <t>SIGNIFICANT ACCOUNTING POLICIES</t>
  </si>
  <si>
    <t>ANNEXURE - "D"</t>
  </si>
  <si>
    <t>RECEIPTS &amp; PAYMENTS ACCOUUNTS</t>
  </si>
  <si>
    <t>1 (A)</t>
  </si>
  <si>
    <t>1 (B)</t>
  </si>
  <si>
    <t>1 ©</t>
  </si>
  <si>
    <t>7 (A)</t>
  </si>
  <si>
    <t>7 (B)</t>
  </si>
  <si>
    <t>SECURITY/EARNEST MONEY/CAUTION MONEY DEPOSIT</t>
  </si>
  <si>
    <t>7 ©</t>
  </si>
  <si>
    <t>7 (D)</t>
  </si>
  <si>
    <t>SCHEDULE OF ACCRUED LIABILITIES</t>
  </si>
  <si>
    <t>DETAILS OF ACCRUED LIABILITIES (NON PLAN)</t>
  </si>
  <si>
    <t>7 (E)</t>
  </si>
  <si>
    <t>7 (F)</t>
  </si>
  <si>
    <t>7 (G)</t>
  </si>
  <si>
    <t>7 (H)</t>
  </si>
  <si>
    <t>7 (I)</t>
  </si>
  <si>
    <t>7 (j)</t>
  </si>
  <si>
    <t>11 (A)</t>
  </si>
  <si>
    <t>11 (B)</t>
  </si>
  <si>
    <t>11 ©</t>
  </si>
  <si>
    <t>11 (D)</t>
  </si>
  <si>
    <t>11 (F)</t>
  </si>
  <si>
    <t>11 (G)</t>
  </si>
  <si>
    <t>11 (H)</t>
  </si>
  <si>
    <t>11 (I)</t>
  </si>
  <si>
    <t>11 (J)</t>
  </si>
  <si>
    <t>11 (K)</t>
  </si>
  <si>
    <t>11 (L)</t>
  </si>
  <si>
    <t>ANNEXURE - "E"</t>
  </si>
  <si>
    <t>ANNEXURE - "F"</t>
  </si>
  <si>
    <t>INVESTMENT - OTHERS</t>
  </si>
  <si>
    <t>7 (k)</t>
  </si>
  <si>
    <t>LEAVE ENCASHMENT (PLAN AND NON PLAN)</t>
  </si>
  <si>
    <t>m)  AMOUNT DUE FROM GOVT</t>
  </si>
  <si>
    <t>11 (m)</t>
  </si>
  <si>
    <t>SCHEDULE FOR CORPUS FUND</t>
  </si>
  <si>
    <t>( SCHEDULE-"7 (C)" )</t>
  </si>
  <si>
    <t>SCHEDULE-"7 (D)"</t>
  </si>
  <si>
    <t>SCHEDULE "7 (D)"</t>
  </si>
  <si>
    <t>SCHEDULE-"7 (E)"</t>
  </si>
  <si>
    <t>SCHEDULE-"7 (F)"</t>
  </si>
  <si>
    <t>SCHEDULE "7 (G)"</t>
  </si>
  <si>
    <t>SCHEDULE-"7 (I)"</t>
  </si>
  <si>
    <t>SCHEDULE-"7 (J)"</t>
  </si>
  <si>
    <t>SCHEDULE-"8"</t>
  </si>
  <si>
    <t>SCHEDULE-"11 (M)"</t>
  </si>
  <si>
    <t>SCHEDULE-"10"</t>
  </si>
  <si>
    <t xml:space="preserve"> SCHEDULE "11 (A)"</t>
  </si>
  <si>
    <t xml:space="preserve"> SCHEDULE "11 (B)"</t>
  </si>
  <si>
    <t>SCHEDULE-"11 (C) "</t>
  </si>
  <si>
    <t>SCHEDULE -'11 (D)"</t>
  </si>
  <si>
    <t>SCHEDULE-"11 (F)"</t>
  </si>
  <si>
    <t>SCHEDULE-"11 (G)"</t>
  </si>
  <si>
    <t>SCHEDULE-"11 (H)"</t>
  </si>
  <si>
    <t>SCHEDULE-"11 (I)"</t>
  </si>
  <si>
    <t>SCHEDULE-11 "(J)"</t>
  </si>
  <si>
    <t xml:space="preserve"> SCHEDULE "11 (K)"</t>
  </si>
  <si>
    <t>SCHEDULE-"11 (L)"</t>
  </si>
  <si>
    <t>n) ADVANCE TAX PAID TO INCOME TAX DEPARTMENT</t>
  </si>
  <si>
    <t>11(n)</t>
  </si>
  <si>
    <t>SCHEDULE-"11(E) and 11 (N)"</t>
  </si>
  <si>
    <t>V. COMMONWEALTH GAMES 2010</t>
  </si>
  <si>
    <t>VI. SUMMER COACHING CAMP</t>
  </si>
  <si>
    <t>OTHERS (CLEANINING)</t>
  </si>
  <si>
    <t>II. DUE FROM OTHERS</t>
  </si>
  <si>
    <t>III. DUE FROM OTHERS (SCHEMES OTHER THAN MYA&amp;S)</t>
  </si>
  <si>
    <t>IV. LC MARGIN MONEY</t>
  </si>
  <si>
    <t>SCHEDULE-"7 (K)"</t>
  </si>
  <si>
    <t>PRIOR PERIOD</t>
  </si>
  <si>
    <t>FDR</t>
  </si>
  <si>
    <t>AMOUNT DUE TO GOVT</t>
  </si>
  <si>
    <t>7 (K)</t>
  </si>
  <si>
    <t>DETAILS OF ACCRUED LIABILITIES</t>
  </si>
  <si>
    <t>AMOUNT DUE FROM GOVT</t>
  </si>
  <si>
    <t>11 (M)</t>
  </si>
  <si>
    <t>11 (E) &amp; 11 (N)</t>
  </si>
  <si>
    <t>INVESTMENTS-OTHERS</t>
  </si>
  <si>
    <t>1. IN GOVERNMENT SECURITIES</t>
  </si>
  <si>
    <t>2. OTHER APPROVED SECURITIES</t>
  </si>
  <si>
    <t>3. SHARES</t>
  </si>
  <si>
    <t xml:space="preserve">4. DEBENTURES AND BONDS </t>
  </si>
  <si>
    <t>5. SUBSIDIARIES AND JOINT VENTURES</t>
  </si>
  <si>
    <t>6. OTHERS (FDR WITH BANK)</t>
  </si>
  <si>
    <t>SCHEDULE-"9"</t>
  </si>
  <si>
    <t>INVESTMENT CORPUS FUND</t>
  </si>
  <si>
    <t>SCHEDULE-"1 (C)"</t>
  </si>
  <si>
    <t>BALANCE AS AT THE BEGINNING OF THE YEAR</t>
  </si>
  <si>
    <t>ADD:CONTRIBUTIONS TOWARDS CORPUS/CAPITAL</t>
  </si>
  <si>
    <t>ADD/(DEDUCT):BALANCE OF NET INCOME/EXPENDITURE</t>
  </si>
  <si>
    <t>TRANSFERRED FROM THE INCOME AND EXPENDITURE</t>
  </si>
  <si>
    <t>ACCOUNT</t>
  </si>
  <si>
    <t>PROVISION TO BE MADE FOR PENSION, GRATUITY AND LEAVE ENCASHEMNT</t>
  </si>
  <si>
    <t>SCHEDULE FOR EARMARKED FUND (PLAN)</t>
  </si>
  <si>
    <t>PROVISION MADE FOR PENSION, GRATUITY, LEAVE ENCASHMENT</t>
  </si>
  <si>
    <t>AMOUNT RECEIVABLE &amp; ADVANCE TAX PAID TO INCOME TAX DEPARTMENT</t>
  </si>
  <si>
    <t>ADVANCE FOR CAPITAL WORKS/MAINTENANCE</t>
  </si>
  <si>
    <t>ACCRURED ASSETS/PREPAID EXPENSES</t>
  </si>
  <si>
    <t>ADVANCE TO CONSTRUCTION AGENCIES FOR CWG-10</t>
  </si>
  <si>
    <t>PROVISION TO BE MADE FOR PENSION, GRATUITY AND LEAVE ENCASHMENT</t>
  </si>
  <si>
    <t>I. ADVANCE TAX PAID TO INCOME TAX DEPARTMENT</t>
  </si>
  <si>
    <t>SCHEDULE FOR INVESTMENT CORPUS FUND</t>
  </si>
  <si>
    <t>C) CORPUS FUND                                     23,16,00,000.00</t>
  </si>
  <si>
    <t>h) ADVANCE TO CONSTRUCTION AGENCIES FOR</t>
  </si>
  <si>
    <t>i) PROVISION MADE FOR PENSION</t>
  </si>
  <si>
    <t>j)AMOUNT DUE TO GOVT</t>
  </si>
  <si>
    <t>k) PROVISION TO BE MADE FOR PENSION, GRATUITY AND</t>
  </si>
  <si>
    <r>
      <t xml:space="preserve">INVESTMENT-(CORPUS FUND)  </t>
    </r>
    <r>
      <rPr>
        <b/>
        <sz val="12"/>
        <color indexed="8"/>
        <rFont val="MS Sans Serif"/>
        <family val="2"/>
      </rPr>
      <t>23,16,00,000.00</t>
    </r>
  </si>
  <si>
    <r>
      <t>CORPUS FUND</t>
    </r>
    <r>
      <rPr>
        <b/>
        <sz val="12"/>
        <color indexed="8"/>
        <rFont val="MS Sans Serif"/>
        <family val="2"/>
      </rPr>
      <t xml:space="preserve">                           </t>
    </r>
    <r>
      <rPr>
        <b/>
        <u/>
        <sz val="12"/>
        <color indexed="8"/>
        <rFont val="MS Sans Serif"/>
        <family val="2"/>
      </rPr>
      <t>8,56,75,730.00</t>
    </r>
  </si>
  <si>
    <t xml:space="preserve">CLOSING BALANCE FOR INTEREST ON </t>
  </si>
  <si>
    <r>
      <t xml:space="preserve">d) OTHER CURRENT LIABILITIES             </t>
    </r>
    <r>
      <rPr>
        <u/>
        <sz val="12"/>
        <color indexed="8"/>
        <rFont val="MS Sans Serif"/>
        <family val="2"/>
      </rPr>
      <t>8,56,75,730.00</t>
    </r>
  </si>
  <si>
    <t xml:space="preserve">OTHER CURRENT LIABILITIES OF CORPUS FUND </t>
  </si>
  <si>
    <t>LESS:-BALANCE OF CORPUS FUND  SHOWN SEPARATELY</t>
  </si>
  <si>
    <t>CLOSING BALANCE AS ON 31.3.2011 OF INTEREST ON CORPUS FUND</t>
  </si>
  <si>
    <t>SCHEDULE-"7 (H)"</t>
  </si>
  <si>
    <t>7 (J)</t>
  </si>
  <si>
    <t>3 TO 46</t>
  </si>
  <si>
    <t>47 TO 66</t>
  </si>
  <si>
    <t>69 TO 70</t>
  </si>
  <si>
    <t>12 TO 18</t>
  </si>
  <si>
    <t>19 TO 20</t>
  </si>
  <si>
    <t>27 TO 30</t>
  </si>
  <si>
    <t>44 TO 45</t>
  </si>
  <si>
    <t>SCHEDULE ATTACHED TO INCOME &amp; EXPENDITURE ACCOUNT</t>
  </si>
  <si>
    <t>GRANT IN AID/SUBSIDIES</t>
  </si>
  <si>
    <t>INCOME FROM INVESTMENT</t>
  </si>
  <si>
    <t>INCOME FROM ROYALTY/PUBLICATIONS</t>
  </si>
  <si>
    <t>18 (A)</t>
  </si>
  <si>
    <t>18 (B)</t>
  </si>
  <si>
    <t>18 ©</t>
  </si>
  <si>
    <t>18 (D)</t>
  </si>
  <si>
    <t>NON PLAN EXPENDITURE OF SAI</t>
  </si>
  <si>
    <t>20 (A)</t>
  </si>
  <si>
    <t>54 TO 58</t>
  </si>
  <si>
    <t>PLAN AND PLAN (NER) SCHEMES OF SAI</t>
  </si>
  <si>
    <t>20 (B &amp; C)</t>
  </si>
  <si>
    <t>59 TO 63</t>
  </si>
  <si>
    <t>20 (D)</t>
  </si>
  <si>
    <t>20 (E)</t>
  </si>
  <si>
    <t>DEPRECIATION CHARGED</t>
  </si>
  <si>
    <t>DETAILED SCHEDULE FOR FIXED ASSETS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</si>
</sst>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8" formatCode="0.0000"/>
    <numFmt numFmtId="169" formatCode="0.00_);\-0.00"/>
    <numFmt numFmtId="170" formatCode="0.00000"/>
  </numFmts>
  <fonts count="64">
    <font>
      <sz val="10"/>
      <color indexed="8"/>
      <name val="MS Sans Serif"/>
    </font>
    <font>
      <b/>
      <sz val="13.65"/>
      <color indexed="8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MS Sans Serif"/>
      <family val="2"/>
    </font>
    <font>
      <b/>
      <u/>
      <sz val="12"/>
      <color indexed="8"/>
      <name val="MS Sans Serif"/>
      <family val="2"/>
    </font>
    <font>
      <sz val="10"/>
      <color indexed="8"/>
      <name val="MS Sans Serif"/>
      <family val="2"/>
    </font>
    <font>
      <b/>
      <u/>
      <sz val="13.5"/>
      <color indexed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0"/>
      <name val="Times New Roman"/>
      <family val="1"/>
    </font>
    <font>
      <u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sz val="12"/>
      <color indexed="10"/>
      <name val="MS Sans Serif"/>
      <family val="2"/>
    </font>
    <font>
      <b/>
      <u/>
      <sz val="12"/>
      <name val="MS Sans Serif"/>
      <family val="2"/>
    </font>
    <font>
      <b/>
      <sz val="12"/>
      <name val="MS Sans Serif"/>
      <family val="2"/>
    </font>
    <font>
      <b/>
      <sz val="12"/>
      <color indexed="8"/>
      <name val="MS Sans Serif"/>
      <family val="2"/>
    </font>
    <font>
      <sz val="12"/>
      <name val="Arial"/>
      <family val="2"/>
    </font>
    <font>
      <b/>
      <u/>
      <sz val="12"/>
      <name val="Arial"/>
      <family val="2"/>
    </font>
    <font>
      <sz val="9.75"/>
      <name val="MS Sans Serif"/>
      <family val="2"/>
    </font>
    <font>
      <sz val="12"/>
      <color indexed="8"/>
      <name val="MS Sans Serif"/>
      <family val="2"/>
    </font>
    <font>
      <sz val="8.5"/>
      <name val="MS Sans Serif"/>
      <family val="2"/>
    </font>
    <font>
      <b/>
      <sz val="12"/>
      <name val="Arial"/>
      <family val="2"/>
    </font>
    <font>
      <b/>
      <u/>
      <sz val="8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b/>
      <u/>
      <sz val="9.75"/>
      <name val="MS Sans Serif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.9499999999999993"/>
      <name val="Arial"/>
      <family val="2"/>
    </font>
    <font>
      <b/>
      <sz val="10"/>
      <name val="Arial"/>
      <family val="2"/>
    </font>
    <font>
      <b/>
      <u/>
      <sz val="8.5"/>
      <name val="MS Sans Serif"/>
      <family val="2"/>
    </font>
    <font>
      <b/>
      <u/>
      <sz val="10.75"/>
      <name val="MS Sans Serif"/>
      <family val="2"/>
    </font>
    <font>
      <b/>
      <sz val="9.75"/>
      <name val="MS Sans Serif"/>
      <family val="2"/>
    </font>
    <font>
      <b/>
      <sz val="9.75"/>
      <name val="Arial"/>
      <family val="2"/>
    </font>
    <font>
      <sz val="10.75"/>
      <name val="MS Sans Serif"/>
      <family val="2"/>
    </font>
    <font>
      <sz val="10.75"/>
      <name val="Arial"/>
      <family val="2"/>
    </font>
    <font>
      <b/>
      <sz val="10.75"/>
      <name val="MS Sans Serif"/>
      <family val="2"/>
    </font>
    <font>
      <b/>
      <sz val="10.75"/>
      <name val="Arial"/>
      <family val="2"/>
    </font>
    <font>
      <b/>
      <u/>
      <sz val="9"/>
      <name val="MS Sans Serif"/>
      <family val="2"/>
    </font>
    <font>
      <u/>
      <sz val="12"/>
      <color indexed="8"/>
      <name val="MS Sans Serif"/>
      <family val="2"/>
    </font>
    <font>
      <b/>
      <u/>
      <sz val="12"/>
      <color indexed="8"/>
      <name val="Arial"/>
      <family val="2"/>
    </font>
    <font>
      <b/>
      <u/>
      <sz val="12"/>
      <color indexed="8"/>
      <name val="Times New Roman"/>
      <family val="1"/>
    </font>
    <font>
      <u/>
      <sz val="12"/>
      <name val="Arial"/>
      <family val="2"/>
    </font>
    <font>
      <b/>
      <sz val="12"/>
      <color indexed="10"/>
      <name val="MS Sans Serif"/>
      <family val="2"/>
    </font>
    <font>
      <sz val="12"/>
      <color indexed="11"/>
      <name val="MS Sans Serif"/>
      <family val="2"/>
    </font>
    <font>
      <b/>
      <sz val="12"/>
      <color indexed="11"/>
      <name val="MS Sans Serif"/>
      <family val="2"/>
    </font>
    <font>
      <b/>
      <sz val="12"/>
      <color indexed="12"/>
      <name val="MS Sans Serif"/>
      <family val="2"/>
    </font>
    <font>
      <b/>
      <sz val="12"/>
      <color indexed="60"/>
      <name val="MS Sans Serif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12"/>
      <color rgb="FFFF0000"/>
      <name val="MS Sans Serif"/>
      <family val="2"/>
    </font>
    <font>
      <b/>
      <sz val="12"/>
      <color rgb="FFFF0000"/>
      <name val="MS Sans Serif"/>
      <family val="2"/>
    </font>
    <font>
      <b/>
      <u val="singleAccounting"/>
      <sz val="12"/>
      <color indexed="8"/>
      <name val="MS Sans Serif"/>
      <family val="2"/>
    </font>
    <font>
      <b/>
      <u val="singleAccounting"/>
      <sz val="10"/>
      <name val="MS Sans Serif"/>
      <family val="2"/>
    </font>
    <font>
      <b/>
      <u/>
      <sz val="13.5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2">
    <xf numFmtId="0" fontId="0" fillId="0" borderId="0" xfId="0" applyNumberFormat="1" applyFill="1" applyBorder="1" applyAlignment="1" applyProtection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5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43" fontId="4" fillId="0" borderId="1" xfId="1" applyFont="1" applyFill="1" applyBorder="1" applyAlignment="1" applyProtection="1">
      <alignment horizontal="center"/>
    </xf>
    <xf numFmtId="43" fontId="8" fillId="0" borderId="1" xfId="1" applyFont="1" applyFill="1" applyBorder="1" applyAlignment="1" applyProtection="1"/>
    <xf numFmtId="43" fontId="9" fillId="0" borderId="1" xfId="1" applyFont="1" applyFill="1" applyBorder="1" applyAlignment="1" applyProtection="1"/>
    <xf numFmtId="43" fontId="8" fillId="2" borderId="1" xfId="1" applyFont="1" applyFill="1" applyBorder="1" applyAlignment="1" applyProtection="1"/>
    <xf numFmtId="43" fontId="14" fillId="0" borderId="1" xfId="1" applyFont="1" applyFill="1" applyBorder="1" applyAlignment="1" applyProtection="1"/>
    <xf numFmtId="43" fontId="10" fillId="0" borderId="1" xfId="1" applyFont="1" applyFill="1" applyBorder="1" applyAlignment="1" applyProtection="1"/>
    <xf numFmtId="43" fontId="9" fillId="2" borderId="1" xfId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6" fillId="0" borderId="1" xfId="0" applyFont="1" applyBorder="1"/>
    <xf numFmtId="0" fontId="6" fillId="0" borderId="1" xfId="0" applyFont="1" applyBorder="1" applyAlignment="1">
      <alignment horizontal="fill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2" fontId="6" fillId="0" borderId="1" xfId="0" applyNumberFormat="1" applyFont="1" applyBorder="1"/>
    <xf numFmtId="43" fontId="8" fillId="0" borderId="1" xfId="1" applyFont="1" applyBorder="1"/>
    <xf numFmtId="0" fontId="9" fillId="0" borderId="1" xfId="0" applyFont="1" applyBorder="1" applyAlignment="1">
      <alignment horizontal="fill"/>
    </xf>
    <xf numFmtId="0" fontId="6" fillId="0" borderId="1" xfId="0" applyFont="1" applyFill="1" applyBorder="1"/>
    <xf numFmtId="43" fontId="9" fillId="0" borderId="2" xfId="1" applyFont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8" fillId="0" borderId="1" xfId="0" applyFont="1" applyBorder="1"/>
    <xf numFmtId="43" fontId="6" fillId="0" borderId="1" xfId="0" applyNumberFormat="1" applyFont="1" applyBorder="1"/>
    <xf numFmtId="0" fontId="8" fillId="0" borderId="3" xfId="0" applyFont="1" applyBorder="1"/>
    <xf numFmtId="4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43" fontId="16" fillId="0" borderId="1" xfId="1" applyFont="1" applyFill="1" applyBorder="1" applyAlignment="1" applyProtection="1"/>
    <xf numFmtId="43" fontId="18" fillId="0" borderId="1" xfId="1" applyFont="1" applyFill="1" applyBorder="1" applyAlignment="1" applyProtection="1"/>
    <xf numFmtId="43" fontId="19" fillId="0" borderId="1" xfId="1" applyFont="1" applyFill="1" applyBorder="1" applyAlignment="1" applyProtection="1"/>
    <xf numFmtId="43" fontId="16" fillId="0" borderId="1" xfId="1" applyFont="1" applyFill="1" applyBorder="1"/>
    <xf numFmtId="43" fontId="16" fillId="0" borderId="4" xfId="1" applyFont="1" applyFill="1" applyBorder="1"/>
    <xf numFmtId="43" fontId="19" fillId="0" borderId="2" xfId="1" applyFont="1" applyFill="1" applyBorder="1" applyAlignment="1" applyProtection="1"/>
    <xf numFmtId="0" fontId="12" fillId="2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/>
    <xf numFmtId="0" fontId="21" fillId="0" borderId="1" xfId="0" applyFont="1" applyBorder="1"/>
    <xf numFmtId="0" fontId="18" fillId="0" borderId="1" xfId="0" applyFont="1" applyBorder="1"/>
    <xf numFmtId="0" fontId="8" fillId="0" borderId="1" xfId="0" applyNumberFormat="1" applyFont="1" applyFill="1" applyBorder="1" applyAlignment="1" applyProtection="1"/>
    <xf numFmtId="0" fontId="16" fillId="0" borderId="1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/>
    <xf numFmtId="2" fontId="19" fillId="0" borderId="1" xfId="0" applyNumberFormat="1" applyFont="1" applyBorder="1" applyAlignment="1">
      <alignment horizontal="right"/>
    </xf>
    <xf numFmtId="43" fontId="23" fillId="0" borderId="1" xfId="1" applyFont="1" applyBorder="1" applyAlignment="1">
      <alignment vertical="center"/>
    </xf>
    <xf numFmtId="43" fontId="16" fillId="0" borderId="1" xfId="1" applyFont="1" applyBorder="1"/>
    <xf numFmtId="43" fontId="19" fillId="0" borderId="1" xfId="1" applyFont="1" applyBorder="1" applyAlignment="1">
      <alignment horizontal="right"/>
    </xf>
    <xf numFmtId="43" fontId="16" fillId="0" borderId="1" xfId="1" applyFont="1" applyBorder="1" applyAlignment="1">
      <alignment horizontal="right"/>
    </xf>
    <xf numFmtId="43" fontId="19" fillId="0" borderId="1" xfId="1" applyFont="1" applyBorder="1"/>
    <xf numFmtId="43" fontId="9" fillId="0" borderId="1" xfId="1" applyFont="1" applyBorder="1"/>
    <xf numFmtId="43" fontId="19" fillId="0" borderId="1" xfId="1" applyFont="1" applyBorder="1" applyAlignment="1">
      <alignment horizontal="left"/>
    </xf>
    <xf numFmtId="43" fontId="19" fillId="0" borderId="2" xfId="1" applyFont="1" applyBorder="1"/>
    <xf numFmtId="43" fontId="18" fillId="0" borderId="1" xfId="1" applyFont="1" applyBorder="1"/>
    <xf numFmtId="0" fontId="22" fillId="0" borderId="1" xfId="0" applyFont="1" applyBorder="1"/>
    <xf numFmtId="43" fontId="19" fillId="0" borderId="1" xfId="1" applyFont="1" applyBorder="1" applyAlignment="1">
      <alignment horizontal="center"/>
    </xf>
    <xf numFmtId="43" fontId="10" fillId="0" borderId="1" xfId="1" applyFont="1" applyBorder="1"/>
    <xf numFmtId="43" fontId="5" fillId="0" borderId="1" xfId="1" applyFont="1" applyFill="1" applyBorder="1" applyAlignment="1" applyProtection="1"/>
    <xf numFmtId="43" fontId="24" fillId="0" borderId="1" xfId="1" applyFont="1" applyFill="1" applyBorder="1" applyAlignment="1" applyProtection="1"/>
    <xf numFmtId="43" fontId="20" fillId="0" borderId="1" xfId="1" applyFont="1" applyFill="1" applyBorder="1" applyAlignment="1" applyProtection="1"/>
    <xf numFmtId="43" fontId="20" fillId="0" borderId="2" xfId="1" applyFont="1" applyFill="1" applyBorder="1" applyAlignment="1" applyProtection="1"/>
    <xf numFmtId="43" fontId="8" fillId="0" borderId="1" xfId="1" applyFont="1" applyFill="1" applyBorder="1" applyAlignment="1" applyProtection="1">
      <alignment horizontal="right"/>
    </xf>
    <xf numFmtId="43" fontId="10" fillId="4" borderId="1" xfId="1" applyFont="1" applyFill="1" applyBorder="1" applyAlignment="1" applyProtection="1">
      <alignment horizontal="center"/>
    </xf>
    <xf numFmtId="43" fontId="9" fillId="4" borderId="1" xfId="1" applyFont="1" applyFill="1" applyBorder="1" applyAlignment="1" applyProtection="1">
      <alignment horizontal="center"/>
    </xf>
    <xf numFmtId="43" fontId="10" fillId="0" borderId="1" xfId="1" applyFont="1" applyFill="1" applyBorder="1" applyAlignment="1" applyProtection="1">
      <alignment horizontal="center"/>
    </xf>
    <xf numFmtId="43" fontId="9" fillId="0" borderId="1" xfId="1" applyFont="1" applyFill="1" applyBorder="1" applyAlignment="1" applyProtection="1">
      <alignment horizontal="center"/>
    </xf>
    <xf numFmtId="43" fontId="25" fillId="0" borderId="1" xfId="1" applyFont="1" applyFill="1" applyBorder="1" applyAlignment="1" applyProtection="1"/>
    <xf numFmtId="0" fontId="24" fillId="0" borderId="1" xfId="0" applyNumberFormat="1" applyFont="1" applyFill="1" applyBorder="1" applyAlignment="1" applyProtection="1"/>
    <xf numFmtId="43" fontId="18" fillId="0" borderId="1" xfId="1" applyFont="1" applyBorder="1" applyAlignment="1">
      <alignment horizontal="left" vertical="center"/>
    </xf>
    <xf numFmtId="43" fontId="9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9" fillId="0" borderId="2" xfId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43" fontId="27" fillId="4" borderId="1" xfId="1" applyFont="1" applyFill="1" applyBorder="1" applyAlignment="1" applyProtection="1">
      <alignment horizontal="center"/>
    </xf>
    <xf numFmtId="43" fontId="28" fillId="0" borderId="1" xfId="1" applyFont="1" applyFill="1" applyBorder="1" applyAlignment="1" applyProtection="1"/>
    <xf numFmtId="43" fontId="28" fillId="0" borderId="1" xfId="1" applyFont="1" applyFill="1" applyBorder="1" applyAlignment="1" applyProtection="1">
      <alignment horizontal="right"/>
    </xf>
    <xf numFmtId="43" fontId="29" fillId="0" borderId="1" xfId="1" applyFont="1" applyFill="1" applyBorder="1" applyAlignment="1" applyProtection="1">
      <alignment horizontal="center"/>
    </xf>
    <xf numFmtId="43" fontId="28" fillId="4" borderId="1" xfId="1" applyFont="1" applyFill="1" applyBorder="1" applyAlignment="1" applyProtection="1"/>
    <xf numFmtId="43" fontId="28" fillId="0" borderId="1" xfId="1" applyFont="1" applyBorder="1"/>
    <xf numFmtId="43" fontId="28" fillId="0" borderId="1" xfId="1" applyFont="1" applyFill="1" applyBorder="1" applyAlignment="1" applyProtection="1">
      <alignment wrapText="1"/>
    </xf>
    <xf numFmtId="43" fontId="28" fillId="0" borderId="1" xfId="1" applyFont="1" applyFill="1" applyBorder="1" applyAlignment="1" applyProtection="1">
      <alignment horizontal="center"/>
    </xf>
    <xf numFmtId="43" fontId="29" fillId="0" borderId="1" xfId="1" applyFont="1" applyFill="1" applyBorder="1" applyAlignment="1" applyProtection="1"/>
    <xf numFmtId="43" fontId="28" fillId="0" borderId="1" xfId="1" applyFont="1" applyBorder="1" applyAlignment="1">
      <alignment horizontal="right"/>
    </xf>
    <xf numFmtId="43" fontId="29" fillId="0" borderId="1" xfId="1" applyFont="1" applyBorder="1" applyAlignment="1">
      <alignment horizontal="right"/>
    </xf>
    <xf numFmtId="43" fontId="29" fillId="0" borderId="1" xfId="1" applyFont="1" applyBorder="1"/>
    <xf numFmtId="43" fontId="30" fillId="0" borderId="1" xfId="1" applyFont="1" applyFill="1" applyBorder="1" applyAlignment="1" applyProtection="1"/>
    <xf numFmtId="43" fontId="9" fillId="3" borderId="1" xfId="1" applyFont="1" applyFill="1" applyBorder="1" applyAlignment="1" applyProtection="1"/>
    <xf numFmtId="43" fontId="19" fillId="0" borderId="4" xfId="1" applyFont="1" applyFill="1" applyBorder="1" applyAlignment="1" applyProtection="1"/>
    <xf numFmtId="43" fontId="9" fillId="0" borderId="1" xfId="0" applyNumberFormat="1" applyFont="1" applyBorder="1"/>
    <xf numFmtId="43" fontId="57" fillId="0" borderId="1" xfId="1" applyFont="1" applyFill="1" applyBorder="1" applyAlignment="1" applyProtection="1"/>
    <xf numFmtId="43" fontId="19" fillId="0" borderId="4" xfId="1" applyFont="1" applyBorder="1"/>
    <xf numFmtId="43" fontId="9" fillId="0" borderId="4" xfId="1" applyFont="1" applyBorder="1"/>
    <xf numFmtId="43" fontId="8" fillId="0" borderId="3" xfId="1" applyFont="1" applyBorder="1"/>
    <xf numFmtId="43" fontId="9" fillId="0" borderId="3" xfId="1" applyFont="1" applyBorder="1"/>
    <xf numFmtId="43" fontId="58" fillId="0" borderId="1" xfId="1" applyFont="1" applyFill="1" applyBorder="1" applyAlignment="1" applyProtection="1"/>
    <xf numFmtId="43" fontId="59" fillId="0" borderId="1" xfId="1" applyFont="1" applyFill="1" applyBorder="1" applyAlignment="1" applyProtection="1"/>
    <xf numFmtId="169" fontId="8" fillId="0" borderId="1" xfId="0" applyNumberFormat="1" applyFont="1" applyFill="1" applyBorder="1" applyAlignment="1" applyProtection="1"/>
    <xf numFmtId="43" fontId="9" fillId="0" borderId="4" xfId="1" applyFont="1" applyFill="1" applyBorder="1" applyAlignment="1" applyProtection="1"/>
    <xf numFmtId="43" fontId="31" fillId="0" borderId="1" xfId="1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center"/>
    </xf>
    <xf numFmtId="43" fontId="9" fillId="0" borderId="2" xfId="1" applyFont="1" applyFill="1" applyBorder="1"/>
    <xf numFmtId="2" fontId="8" fillId="0" borderId="1" xfId="0" applyNumberFormat="1" applyFont="1" applyBorder="1"/>
    <xf numFmtId="43" fontId="8" fillId="0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/>
    </xf>
    <xf numFmtId="169" fontId="26" fillId="0" borderId="1" xfId="0" applyNumberFormat="1" applyFont="1" applyBorder="1" applyAlignment="1">
      <alignment horizontal="left" vertical="center"/>
    </xf>
    <xf numFmtId="169" fontId="32" fillId="0" borderId="1" xfId="0" applyNumberFormat="1" applyFont="1" applyBorder="1" applyAlignment="1">
      <alignment horizontal="left" vertical="center"/>
    </xf>
    <xf numFmtId="169" fontId="32" fillId="0" borderId="1" xfId="0" applyNumberFormat="1" applyFont="1" applyBorder="1" applyAlignment="1">
      <alignment horizontal="center" vertical="center"/>
    </xf>
    <xf numFmtId="169" fontId="9" fillId="0" borderId="1" xfId="0" applyNumberFormat="1" applyFont="1" applyFill="1" applyBorder="1" applyAlignment="1" applyProtection="1">
      <alignment horizontal="center"/>
    </xf>
    <xf numFmtId="169" fontId="33" fillId="0" borderId="1" xfId="0" applyNumberFormat="1" applyFont="1" applyBorder="1" applyAlignment="1">
      <alignment horizontal="center" vertical="center"/>
    </xf>
    <xf numFmtId="169" fontId="34" fillId="0" borderId="1" xfId="0" applyNumberFormat="1" applyFont="1" applyBorder="1" applyAlignment="1">
      <alignment horizontal="center" vertical="center"/>
    </xf>
    <xf numFmtId="169" fontId="29" fillId="0" borderId="1" xfId="0" applyNumberFormat="1" applyFont="1" applyFill="1" applyBorder="1" applyAlignment="1" applyProtection="1">
      <alignment horizontal="center"/>
    </xf>
    <xf numFmtId="169" fontId="30" fillId="0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169" fontId="10" fillId="0" borderId="1" xfId="0" applyNumberFormat="1" applyFont="1" applyFill="1" applyBorder="1" applyAlignment="1" applyProtection="1">
      <alignment horizontal="center"/>
    </xf>
    <xf numFmtId="169" fontId="35" fillId="0" borderId="1" xfId="0" applyNumberFormat="1" applyFont="1" applyBorder="1" applyAlignment="1">
      <alignment vertical="center"/>
    </xf>
    <xf numFmtId="169" fontId="10" fillId="0" borderId="1" xfId="0" applyNumberFormat="1" applyFont="1" applyFill="1" applyBorder="1" applyAlignment="1" applyProtection="1"/>
    <xf numFmtId="169" fontId="9" fillId="0" borderId="1" xfId="0" applyNumberFormat="1" applyFont="1" applyFill="1" applyBorder="1" applyAlignment="1" applyProtection="1"/>
    <xf numFmtId="0" fontId="22" fillId="0" borderId="1" xfId="0" applyFont="1" applyBorder="1" applyAlignment="1">
      <alignment horizontal="left" vertical="center"/>
    </xf>
    <xf numFmtId="43" fontId="10" fillId="0" borderId="1" xfId="1" applyFont="1" applyBorder="1" applyAlignment="1">
      <alignment horizontal="left" vertical="center"/>
    </xf>
    <xf numFmtId="0" fontId="14" fillId="0" borderId="1" xfId="0" applyNumberFormat="1" applyFont="1" applyFill="1" applyBorder="1" applyAlignment="1" applyProtection="1"/>
    <xf numFmtId="0" fontId="36" fillId="0" borderId="1" xfId="0" applyFont="1" applyBorder="1" applyAlignment="1">
      <alignment horizontal="center" vertical="center"/>
    </xf>
    <xf numFmtId="43" fontId="14" fillId="0" borderId="1" xfId="1" applyFont="1" applyBorder="1" applyAlignment="1">
      <alignment vertical="center"/>
    </xf>
    <xf numFmtId="43" fontId="8" fillId="0" borderId="1" xfId="1" applyFont="1" applyBorder="1" applyAlignment="1">
      <alignment horizontal="left" vertic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14" fillId="0" borderId="1" xfId="0" applyFont="1" applyBorder="1"/>
    <xf numFmtId="2" fontId="14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43" fontId="8" fillId="0" borderId="1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43" fontId="9" fillId="0" borderId="1" xfId="1" applyFont="1" applyFill="1" applyBorder="1"/>
    <xf numFmtId="43" fontId="8" fillId="0" borderId="3" xfId="1" applyFont="1" applyFill="1" applyBorder="1" applyAlignment="1" applyProtection="1"/>
    <xf numFmtId="43" fontId="29" fillId="4" borderId="1" xfId="1" applyFont="1" applyFill="1" applyBorder="1" applyAlignment="1" applyProtection="1">
      <alignment horizontal="right"/>
    </xf>
    <xf numFmtId="43" fontId="29" fillId="4" borderId="1" xfId="1" applyFont="1" applyFill="1" applyBorder="1" applyAlignment="1" applyProtection="1"/>
    <xf numFmtId="43" fontId="29" fillId="0" borderId="1" xfId="1" applyFont="1" applyFill="1" applyBorder="1" applyAlignment="1" applyProtection="1">
      <alignment horizontal="right"/>
    </xf>
    <xf numFmtId="43" fontId="27" fillId="0" borderId="1" xfId="1" applyFont="1" applyFill="1" applyBorder="1" applyAlignment="1" applyProtection="1"/>
    <xf numFmtId="43" fontId="27" fillId="0" borderId="1" xfId="1" applyFont="1" applyBorder="1"/>
    <xf numFmtId="43" fontId="25" fillId="0" borderId="1" xfId="1" applyFont="1" applyBorder="1"/>
    <xf numFmtId="43" fontId="9" fillId="3" borderId="1" xfId="1" applyFont="1" applyFill="1" applyBorder="1"/>
    <xf numFmtId="43" fontId="8" fillId="0" borderId="4" xfId="1" applyFont="1" applyBorder="1"/>
    <xf numFmtId="43" fontId="9" fillId="0" borderId="4" xfId="1" applyFont="1" applyFill="1" applyBorder="1"/>
    <xf numFmtId="43" fontId="38" fillId="0" borderId="1" xfId="1" applyFont="1" applyBorder="1" applyAlignment="1">
      <alignment horizontal="left" vertical="center"/>
    </xf>
    <xf numFmtId="43" fontId="39" fillId="0" borderId="1" xfId="1" applyFont="1" applyBorder="1" applyAlignment="1">
      <alignment horizontal="left" vertical="center"/>
    </xf>
    <xf numFmtId="43" fontId="39" fillId="0" borderId="1" xfId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3" fontId="41" fillId="0" borderId="1" xfId="1" applyFont="1" applyFill="1" applyBorder="1" applyAlignment="1" applyProtection="1">
      <alignment horizontal="right" vertical="center"/>
    </xf>
    <xf numFmtId="43" fontId="41" fillId="0" borderId="1" xfId="1" applyFont="1" applyBorder="1" applyAlignment="1">
      <alignment horizontal="right" vertical="center"/>
    </xf>
    <xf numFmtId="43" fontId="42" fillId="0" borderId="1" xfId="1" applyFont="1" applyBorder="1" applyAlignment="1">
      <alignment horizontal="right" vertical="center"/>
    </xf>
    <xf numFmtId="0" fontId="40" fillId="0" borderId="1" xfId="0" applyFont="1" applyBorder="1" applyAlignment="1">
      <alignment horizontal="left" vertical="center"/>
    </xf>
    <xf numFmtId="43" fontId="43" fillId="0" borderId="2" xfId="1" applyFont="1" applyBorder="1" applyAlignment="1">
      <alignment horizontal="right" vertical="center"/>
    </xf>
    <xf numFmtId="43" fontId="43" fillId="0" borderId="2" xfId="1" applyFont="1" applyFill="1" applyBorder="1" applyAlignment="1">
      <alignment horizontal="right" vertical="center"/>
    </xf>
    <xf numFmtId="43" fontId="44" fillId="0" borderId="2" xfId="1" applyFont="1" applyBorder="1" applyAlignment="1">
      <alignment horizontal="right" vertical="center"/>
    </xf>
    <xf numFmtId="43" fontId="44" fillId="0" borderId="4" xfId="1" applyFont="1" applyBorder="1" applyAlignment="1">
      <alignment horizontal="right" vertical="center"/>
    </xf>
    <xf numFmtId="43" fontId="9" fillId="2" borderId="1" xfId="1" applyFont="1" applyFill="1" applyBorder="1"/>
    <xf numFmtId="43" fontId="30" fillId="0" borderId="1" xfId="1" applyFont="1" applyFill="1" applyBorder="1" applyAlignment="1" applyProtection="1">
      <alignment horizontal="center"/>
    </xf>
    <xf numFmtId="0" fontId="30" fillId="0" borderId="1" xfId="0" applyNumberFormat="1" applyFont="1" applyFill="1" applyBorder="1" applyAlignment="1" applyProtection="1">
      <alignment horizontal="center"/>
    </xf>
    <xf numFmtId="2" fontId="9" fillId="0" borderId="1" xfId="0" applyNumberFormat="1" applyFont="1" applyFill="1" applyBorder="1" applyAlignment="1" applyProtection="1"/>
    <xf numFmtId="43" fontId="30" fillId="0" borderId="1" xfId="1" applyFont="1" applyBorder="1"/>
    <xf numFmtId="0" fontId="25" fillId="0" borderId="1" xfId="0" applyFont="1" applyBorder="1"/>
    <xf numFmtId="43" fontId="10" fillId="0" borderId="1" xfId="1" applyFont="1" applyFill="1" applyBorder="1" applyAlignment="1" applyProtection="1">
      <alignment horizontal="left"/>
    </xf>
    <xf numFmtId="43" fontId="8" fillId="0" borderId="3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horizontal="right"/>
    </xf>
    <xf numFmtId="0" fontId="8" fillId="2" borderId="5" xfId="0" applyNumberFormat="1" applyFont="1" applyFill="1" applyBorder="1" applyAlignment="1" applyProtection="1"/>
    <xf numFmtId="43" fontId="8" fillId="2" borderId="1" xfId="0" applyNumberFormat="1" applyFont="1" applyFill="1" applyBorder="1" applyAlignment="1" applyProtection="1"/>
    <xf numFmtId="2" fontId="9" fillId="0" borderId="3" xfId="0" applyNumberFormat="1" applyFont="1" applyBorder="1" applyAlignment="1">
      <alignment horizontal="center"/>
    </xf>
    <xf numFmtId="43" fontId="37" fillId="0" borderId="1" xfId="1" applyFont="1" applyFill="1" applyBorder="1" applyAlignment="1" applyProtection="1">
      <alignment horizontal="center"/>
    </xf>
    <xf numFmtId="43" fontId="45" fillId="0" borderId="1" xfId="1" applyFont="1" applyFill="1" applyBorder="1" applyAlignment="1" applyProtection="1">
      <alignment horizontal="center"/>
    </xf>
    <xf numFmtId="2" fontId="8" fillId="2" borderId="1" xfId="0" applyNumberFormat="1" applyFont="1" applyFill="1" applyBorder="1" applyAlignment="1" applyProtection="1"/>
    <xf numFmtId="2" fontId="9" fillId="0" borderId="2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fill"/>
    </xf>
    <xf numFmtId="0" fontId="20" fillId="0" borderId="1" xfId="0" applyFont="1" applyBorder="1" applyAlignment="1">
      <alignment horizontal="center"/>
    </xf>
    <xf numFmtId="0" fontId="46" fillId="0" borderId="1" xfId="0" applyFont="1" applyBorder="1"/>
    <xf numFmtId="0" fontId="18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>
      <alignment horizontal="center"/>
    </xf>
    <xf numFmtId="0" fontId="20" fillId="0" borderId="1" xfId="0" applyFont="1" applyBorder="1" applyAlignment="1">
      <alignment vertical="center"/>
    </xf>
    <xf numFmtId="0" fontId="24" fillId="0" borderId="1" xfId="0" applyNumberFormat="1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/>
    <xf numFmtId="0" fontId="20" fillId="0" borderId="1" xfId="0" applyFont="1" applyBorder="1"/>
    <xf numFmtId="43" fontId="24" fillId="0" borderId="1" xfId="1" applyFont="1" applyFill="1" applyBorder="1"/>
    <xf numFmtId="43" fontId="24" fillId="0" borderId="1" xfId="1" applyFont="1" applyBorder="1"/>
    <xf numFmtId="2" fontId="20" fillId="0" borderId="1" xfId="0" applyNumberFormat="1" applyFont="1" applyBorder="1"/>
    <xf numFmtId="43" fontId="20" fillId="0" borderId="2" xfId="1" applyFont="1" applyBorder="1"/>
    <xf numFmtId="2" fontId="19" fillId="0" borderId="3" xfId="0" applyNumberFormat="1" applyFont="1" applyBorder="1"/>
    <xf numFmtId="2" fontId="20" fillId="0" borderId="3" xfId="0" applyNumberFormat="1" applyFont="1" applyBorder="1"/>
    <xf numFmtId="2" fontId="19" fillId="0" borderId="1" xfId="0" applyNumberFormat="1" applyFont="1" applyBorder="1"/>
    <xf numFmtId="0" fontId="16" fillId="0" borderId="3" xfId="0" applyFont="1" applyBorder="1"/>
    <xf numFmtId="0" fontId="24" fillId="0" borderId="3" xfId="0" applyFont="1" applyBorder="1"/>
    <xf numFmtId="43" fontId="16" fillId="0" borderId="1" xfId="0" applyNumberFormat="1" applyFont="1" applyBorder="1"/>
    <xf numFmtId="43" fontId="24" fillId="0" borderId="1" xfId="0" applyNumberFormat="1" applyFont="1" applyBorder="1"/>
    <xf numFmtId="0" fontId="20" fillId="0" borderId="1" xfId="0" applyNumberFormat="1" applyFont="1" applyFill="1" applyBorder="1" applyAlignment="1" applyProtection="1">
      <alignment horizontal="left"/>
    </xf>
    <xf numFmtId="0" fontId="24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 vertical="center"/>
    </xf>
    <xf numFmtId="0" fontId="47" fillId="2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2" borderId="1" xfId="0" applyNumberFormat="1" applyFont="1" applyFill="1" applyBorder="1" applyAlignment="1" applyProtection="1">
      <alignment horizontal="center"/>
    </xf>
    <xf numFmtId="0" fontId="49" fillId="0" borderId="1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/>
    <xf numFmtId="43" fontId="20" fillId="0" borderId="2" xfId="1" applyFont="1" applyFill="1" applyBorder="1"/>
    <xf numFmtId="2" fontId="59" fillId="0" borderId="1" xfId="0" applyNumberFormat="1" applyFont="1" applyFill="1" applyBorder="1" applyAlignment="1" applyProtection="1"/>
    <xf numFmtId="43" fontId="24" fillId="0" borderId="1" xfId="0" applyNumberFormat="1" applyFont="1" applyFill="1" applyBorder="1" applyAlignment="1" applyProtection="1"/>
    <xf numFmtId="43" fontId="20" fillId="0" borderId="4" xfId="1" applyFont="1" applyFill="1" applyBorder="1"/>
    <xf numFmtId="43" fontId="20" fillId="0" borderId="4" xfId="1" applyFont="1" applyBorder="1"/>
    <xf numFmtId="43" fontId="20" fillId="0" borderId="2" xfId="0" applyNumberFormat="1" applyFont="1" applyFill="1" applyBorder="1" applyAlignment="1" applyProtection="1"/>
    <xf numFmtId="43" fontId="24" fillId="0" borderId="3" xfId="0" applyNumberFormat="1" applyFont="1" applyFill="1" applyBorder="1" applyAlignment="1" applyProtection="1"/>
    <xf numFmtId="0" fontId="46" fillId="0" borderId="1" xfId="0" applyNumberFormat="1" applyFont="1" applyFill="1" applyBorder="1" applyAlignment="1" applyProtection="1"/>
    <xf numFmtId="0" fontId="59" fillId="0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/>
    <xf numFmtId="0" fontId="16" fillId="0" borderId="1" xfId="0" applyNumberFormat="1" applyFont="1" applyFill="1" applyBorder="1" applyAlignment="1" applyProtection="1"/>
    <xf numFmtId="2" fontId="20" fillId="0" borderId="1" xfId="0" applyNumberFormat="1" applyFont="1" applyFill="1" applyBorder="1" applyAlignment="1" applyProtection="1"/>
    <xf numFmtId="43" fontId="24" fillId="0" borderId="4" xfId="1" applyFont="1" applyFill="1" applyBorder="1" applyAlignment="1" applyProtection="1"/>
    <xf numFmtId="43" fontId="24" fillId="0" borderId="4" xfId="1" applyFont="1" applyBorder="1"/>
    <xf numFmtId="43" fontId="24" fillId="0" borderId="3" xfId="0" applyNumberFormat="1" applyFont="1" applyBorder="1"/>
    <xf numFmtId="0" fontId="17" fillId="0" borderId="1" xfId="0" applyNumberFormat="1" applyFont="1" applyFill="1" applyBorder="1" applyAlignment="1" applyProtection="1"/>
    <xf numFmtId="43" fontId="20" fillId="0" borderId="1" xfId="1" applyFont="1" applyBorder="1"/>
    <xf numFmtId="2" fontId="50" fillId="2" borderId="1" xfId="0" applyNumberFormat="1" applyFont="1" applyFill="1" applyBorder="1"/>
    <xf numFmtId="2" fontId="50" fillId="0" borderId="1" xfId="0" applyNumberFormat="1" applyFont="1" applyBorder="1"/>
    <xf numFmtId="43" fontId="24" fillId="0" borderId="1" xfId="1" applyFont="1" applyFill="1" applyBorder="1" applyAlignment="1" applyProtection="1">
      <alignment horizontal="center"/>
    </xf>
    <xf numFmtId="0" fontId="51" fillId="0" borderId="1" xfId="0" applyNumberFormat="1" applyFont="1" applyFill="1" applyBorder="1" applyAlignment="1" applyProtection="1"/>
    <xf numFmtId="2" fontId="52" fillId="0" borderId="1" xfId="0" applyNumberFormat="1" applyFont="1" applyBorder="1"/>
    <xf numFmtId="2" fontId="53" fillId="0" borderId="1" xfId="0" applyNumberFormat="1" applyFont="1" applyBorder="1"/>
    <xf numFmtId="2" fontId="20" fillId="3" borderId="1" xfId="0" applyNumberFormat="1" applyFont="1" applyFill="1" applyBorder="1" applyAlignment="1" applyProtection="1"/>
    <xf numFmtId="2" fontId="20" fillId="2" borderId="1" xfId="0" applyNumberFormat="1" applyFont="1" applyFill="1" applyBorder="1" applyAlignment="1" applyProtection="1"/>
    <xf numFmtId="2" fontId="20" fillId="0" borderId="3" xfId="0" applyNumberFormat="1" applyFont="1" applyFill="1" applyBorder="1" applyAlignment="1" applyProtection="1"/>
    <xf numFmtId="0" fontId="20" fillId="0" borderId="3" xfId="0" applyNumberFormat="1" applyFont="1" applyFill="1" applyBorder="1" applyAlignment="1" applyProtection="1"/>
    <xf numFmtId="2" fontId="54" fillId="3" borderId="1" xfId="0" applyNumberFormat="1" applyFont="1" applyFill="1" applyBorder="1" applyAlignment="1" applyProtection="1"/>
    <xf numFmtId="2" fontId="54" fillId="0" borderId="1" xfId="0" applyNumberFormat="1" applyFont="1" applyFill="1" applyBorder="1" applyAlignment="1" applyProtection="1"/>
    <xf numFmtId="2" fontId="54" fillId="2" borderId="1" xfId="0" applyNumberFormat="1" applyFont="1" applyFill="1" applyBorder="1" applyAlignment="1" applyProtection="1"/>
    <xf numFmtId="43" fontId="20" fillId="0" borderId="1" xfId="0" applyNumberFormat="1" applyFont="1" applyFill="1" applyBorder="1" applyAlignment="1" applyProtection="1"/>
    <xf numFmtId="2" fontId="53" fillId="3" borderId="1" xfId="0" applyNumberFormat="1" applyFont="1" applyFill="1" applyBorder="1" applyAlignment="1" applyProtection="1"/>
    <xf numFmtId="2" fontId="53" fillId="2" borderId="1" xfId="0" applyNumberFormat="1" applyFont="1" applyFill="1" applyBorder="1" applyAlignment="1" applyProtection="1"/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 applyProtection="1">
      <alignment horizontal="center"/>
    </xf>
    <xf numFmtId="0" fontId="24" fillId="0" borderId="1" xfId="0" applyFont="1" applyBorder="1" applyAlignment="1">
      <alignment vertical="center"/>
    </xf>
    <xf numFmtId="43" fontId="24" fillId="0" borderId="1" xfId="1" applyFont="1" applyFill="1" applyBorder="1" applyAlignment="1" applyProtection="1">
      <alignment horizontal="right" vertical="center"/>
    </xf>
    <xf numFmtId="43" fontId="59" fillId="0" borderId="1" xfId="1" applyFont="1" applyBorder="1" applyAlignment="1">
      <alignment horizontal="right" vertical="center"/>
    </xf>
    <xf numFmtId="43" fontId="16" fillId="0" borderId="1" xfId="1" applyFont="1" applyBorder="1" applyAlignment="1">
      <alignment horizontal="right" vertical="center"/>
    </xf>
    <xf numFmtId="169" fontId="24" fillId="0" borderId="1" xfId="0" applyNumberFormat="1" applyFont="1" applyFill="1" applyBorder="1" applyAlignment="1" applyProtection="1"/>
    <xf numFmtId="43" fontId="20" fillId="0" borderId="1" xfId="1" applyFont="1" applyBorder="1" applyAlignment="1">
      <alignment horizontal="right" vertical="center"/>
    </xf>
    <xf numFmtId="169" fontId="55" fillId="0" borderId="1" xfId="0" applyNumberFormat="1" applyFont="1" applyBorder="1" applyAlignment="1">
      <alignment horizontal="right" vertical="center"/>
    </xf>
    <xf numFmtId="169" fontId="55" fillId="0" borderId="1" xfId="0" applyNumberFormat="1" applyFont="1" applyFill="1" applyBorder="1" applyAlignment="1" applyProtection="1">
      <alignment horizontal="right" vertical="center"/>
    </xf>
    <xf numFmtId="0" fontId="46" fillId="0" borderId="1" xfId="0" applyFont="1" applyBorder="1" applyAlignment="1">
      <alignment horizontal="left" vertical="center"/>
    </xf>
    <xf numFmtId="43" fontId="20" fillId="0" borderId="1" xfId="1" applyFont="1" applyBorder="1" applyAlignment="1">
      <alignment horizontal="center" vertical="center"/>
    </xf>
    <xf numFmtId="43" fontId="24" fillId="0" borderId="1" xfId="1" applyFont="1" applyBorder="1" applyAlignment="1">
      <alignment horizontal="right" vertical="center"/>
    </xf>
    <xf numFmtId="169" fontId="56" fillId="0" borderId="1" xfId="0" applyNumberFormat="1" applyFont="1" applyBorder="1" applyAlignment="1">
      <alignment horizontal="right" vertical="center"/>
    </xf>
    <xf numFmtId="169" fontId="56" fillId="0" borderId="1" xfId="0" applyNumberFormat="1" applyFont="1" applyFill="1" applyBorder="1" applyAlignment="1" applyProtection="1">
      <alignment horizontal="right" vertical="center"/>
    </xf>
    <xf numFmtId="0" fontId="24" fillId="0" borderId="1" xfId="0" applyFont="1" applyBorder="1" applyAlignment="1">
      <alignment horizontal="left" vertical="center"/>
    </xf>
    <xf numFmtId="169" fontId="56" fillId="0" borderId="1" xfId="0" applyNumberFormat="1" applyFont="1" applyBorder="1" applyAlignment="1">
      <alignment vertical="center"/>
    </xf>
    <xf numFmtId="43" fontId="24" fillId="0" borderId="1" xfId="1" applyFont="1" applyFill="1" applyBorder="1" applyAlignment="1" applyProtection="1">
      <alignment horizontal="right"/>
    </xf>
    <xf numFmtId="0" fontId="24" fillId="0" borderId="1" xfId="0" applyNumberFormat="1" applyFont="1" applyFill="1" applyBorder="1" applyAlignment="1" applyProtection="1">
      <alignment horizontal="right"/>
    </xf>
    <xf numFmtId="2" fontId="24" fillId="0" borderId="1" xfId="0" applyNumberFormat="1" applyFont="1" applyBorder="1" applyAlignment="1">
      <alignment horizontal="right" vertical="center"/>
    </xf>
    <xf numFmtId="0" fontId="24" fillId="0" borderId="3" xfId="0" applyNumberFormat="1" applyFont="1" applyFill="1" applyBorder="1" applyAlignment="1" applyProtection="1"/>
    <xf numFmtId="170" fontId="21" fillId="0" borderId="1" xfId="0" applyNumberFormat="1" applyFont="1" applyBorder="1" applyAlignment="1">
      <alignment horizontal="left"/>
    </xf>
    <xf numFmtId="0" fontId="21" fillId="0" borderId="3" xfId="0" applyFont="1" applyBorder="1"/>
    <xf numFmtId="2" fontId="21" fillId="0" borderId="3" xfId="0" applyNumberFormat="1" applyFont="1" applyBorder="1"/>
    <xf numFmtId="43" fontId="21" fillId="0" borderId="1" xfId="0" applyNumberFormat="1" applyFont="1" applyBorder="1"/>
    <xf numFmtId="43" fontId="5" fillId="0" borderId="1" xfId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right"/>
    </xf>
    <xf numFmtId="43" fontId="5" fillId="0" borderId="1" xfId="1" applyFont="1" applyBorder="1"/>
    <xf numFmtId="0" fontId="20" fillId="0" borderId="3" xfId="0" applyFont="1" applyBorder="1"/>
    <xf numFmtId="43" fontId="20" fillId="0" borderId="1" xfId="1" applyFont="1" applyFill="1" applyBorder="1"/>
    <xf numFmtId="43" fontId="16" fillId="0" borderId="1" xfId="1" applyFont="1" applyFill="1" applyBorder="1" applyAlignment="1" applyProtection="1">
      <alignment horizontal="right"/>
    </xf>
    <xf numFmtId="43" fontId="21" fillId="0" borderId="1" xfId="1" applyFont="1" applyFill="1" applyBorder="1" applyAlignment="1" applyProtection="1"/>
    <xf numFmtId="43" fontId="18" fillId="4" borderId="1" xfId="1" applyFont="1" applyFill="1" applyBorder="1" applyAlignment="1" applyProtection="1">
      <alignment horizontal="center"/>
    </xf>
    <xf numFmtId="43" fontId="19" fillId="4" borderId="1" xfId="1" applyFont="1" applyFill="1" applyBorder="1" applyAlignment="1" applyProtection="1">
      <alignment horizontal="center"/>
    </xf>
    <xf numFmtId="43" fontId="18" fillId="0" borderId="1" xfId="1" applyFont="1" applyFill="1" applyBorder="1" applyAlignment="1" applyProtection="1">
      <alignment horizontal="center"/>
    </xf>
    <xf numFmtId="43" fontId="19" fillId="0" borderId="1" xfId="1" applyFont="1" applyFill="1" applyBorder="1" applyAlignment="1" applyProtection="1">
      <alignment horizontal="center"/>
    </xf>
    <xf numFmtId="2" fontId="21" fillId="0" borderId="1" xfId="0" applyNumberFormat="1" applyFont="1" applyBorder="1"/>
    <xf numFmtId="43" fontId="60" fillId="0" borderId="1" xfId="1" applyFont="1" applyFill="1" applyBorder="1" applyAlignment="1" applyProtection="1"/>
    <xf numFmtId="43" fontId="20" fillId="0" borderId="1" xfId="1" applyFont="1" applyFill="1" applyBorder="1" applyAlignment="1" applyProtection="1">
      <alignment horizontal="center"/>
    </xf>
    <xf numFmtId="4" fontId="21" fillId="0" borderId="6" xfId="1" applyNumberFormat="1" applyFont="1" applyBorder="1"/>
    <xf numFmtId="43" fontId="24" fillId="0" borderId="3" xfId="1" applyFont="1" applyFill="1" applyBorder="1" applyAlignment="1" applyProtection="1"/>
    <xf numFmtId="43" fontId="16" fillId="2" borderId="1" xfId="1" applyFont="1" applyFill="1" applyBorder="1" applyAlignment="1" applyProtection="1"/>
    <xf numFmtId="2" fontId="9" fillId="0" borderId="6" xfId="0" applyNumberFormat="1" applyFont="1" applyBorder="1"/>
    <xf numFmtId="0" fontId="20" fillId="0" borderId="2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43" fontId="16" fillId="0" borderId="4" xfId="1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46" fillId="0" borderId="1" xfId="0" applyNumberFormat="1" applyFont="1" applyFill="1" applyBorder="1" applyAlignment="1" applyProtection="1">
      <alignment horizontal="center"/>
    </xf>
    <xf numFmtId="43" fontId="61" fillId="0" borderId="1" xfId="1" applyFont="1" applyFill="1" applyBorder="1" applyAlignment="1" applyProtection="1"/>
    <xf numFmtId="43" fontId="20" fillId="0" borderId="4" xfId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3" fontId="46" fillId="0" borderId="1" xfId="1" applyFont="1" applyBorder="1"/>
    <xf numFmtId="43" fontId="28" fillId="5" borderId="1" xfId="1" applyFont="1" applyFill="1" applyBorder="1" applyAlignment="1" applyProtection="1"/>
    <xf numFmtId="43" fontId="27" fillId="5" borderId="1" xfId="1" applyFont="1" applyFill="1" applyBorder="1" applyAlignment="1">
      <alignment horizontal="left" vertical="center"/>
    </xf>
    <xf numFmtId="43" fontId="9" fillId="5" borderId="1" xfId="1" applyFont="1" applyFill="1" applyBorder="1" applyAlignment="1" applyProtection="1">
      <alignment horizontal="center"/>
    </xf>
    <xf numFmtId="0" fontId="3" fillId="0" borderId="1" xfId="0" applyFont="1" applyBorder="1"/>
    <xf numFmtId="168" fontId="8" fillId="0" borderId="1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/>
    </xf>
    <xf numFmtId="43" fontId="8" fillId="0" borderId="1" xfId="1" applyFont="1" applyBorder="1" applyAlignment="1">
      <alignment horizontal="left"/>
    </xf>
    <xf numFmtId="43" fontId="9" fillId="0" borderId="1" xfId="1" applyFont="1" applyBorder="1" applyAlignment="1">
      <alignment vertical="center"/>
    </xf>
    <xf numFmtId="43" fontId="62" fillId="0" borderId="1" xfId="1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43" fontId="19" fillId="5" borderId="1" xfId="1" applyFont="1" applyFill="1" applyBorder="1" applyAlignment="1" applyProtection="1">
      <alignment horizontal="center"/>
    </xf>
    <xf numFmtId="43" fontId="9" fillId="5" borderId="1" xfId="1" applyFont="1" applyFill="1" applyBorder="1" applyAlignment="1" applyProtection="1"/>
    <xf numFmtId="43" fontId="59" fillId="5" borderId="1" xfId="1" applyFont="1" applyFill="1" applyBorder="1" applyAlignment="1" applyProtection="1"/>
    <xf numFmtId="43" fontId="24" fillId="5" borderId="1" xfId="1" applyFont="1" applyFill="1" applyBorder="1" applyAlignment="1" applyProtection="1"/>
    <xf numFmtId="2" fontId="37" fillId="0" borderId="1" xfId="0" applyNumberFormat="1" applyFont="1" applyBorder="1" applyAlignment="1">
      <alignment horizontal="center"/>
    </xf>
    <xf numFmtId="0" fontId="9" fillId="2" borderId="1" xfId="0" applyNumberFormat="1" applyFont="1" applyFill="1" applyBorder="1" applyAlignment="1" applyProtection="1"/>
    <xf numFmtId="43" fontId="63" fillId="0" borderId="1" xfId="1" applyFont="1" applyFill="1" applyBorder="1" applyAlignment="1" applyProtection="1"/>
    <xf numFmtId="0" fontId="18" fillId="2" borderId="1" xfId="0" applyNumberFormat="1" applyFont="1" applyFill="1" applyBorder="1" applyAlignment="1" applyProtection="1">
      <alignment horizontal="center"/>
    </xf>
    <xf numFmtId="0" fontId="24" fillId="0" borderId="5" xfId="0" applyNumberFormat="1" applyFont="1" applyFill="1" applyBorder="1" applyAlignment="1" applyProtection="1"/>
    <xf numFmtId="0" fontId="19" fillId="0" borderId="1" xfId="0" applyNumberFormat="1" applyFont="1" applyFill="1" applyBorder="1" applyAlignment="1" applyProtection="1"/>
    <xf numFmtId="43" fontId="8" fillId="0" borderId="7" xfId="1" applyFont="1" applyFill="1" applyBorder="1" applyAlignment="1" applyProtection="1"/>
    <xf numFmtId="43" fontId="9" fillId="0" borderId="7" xfId="1" applyFont="1" applyFill="1" applyBorder="1" applyAlignment="1" applyProtection="1"/>
    <xf numFmtId="43" fontId="8" fillId="0" borderId="5" xfId="1" applyFont="1" applyFill="1" applyBorder="1" applyAlignment="1" applyProtection="1"/>
    <xf numFmtId="43" fontId="9" fillId="0" borderId="9" xfId="1" applyFont="1" applyFill="1" applyBorder="1" applyAlignment="1" applyProtection="1"/>
    <xf numFmtId="43" fontId="9" fillId="0" borderId="10" xfId="1" applyFont="1" applyFill="1" applyBorder="1" applyAlignment="1" applyProtection="1"/>
    <xf numFmtId="43" fontId="14" fillId="0" borderId="7" xfId="1" applyFont="1" applyBorder="1" applyAlignment="1">
      <alignment vertical="center"/>
    </xf>
    <xf numFmtId="0" fontId="8" fillId="0" borderId="7" xfId="0" applyNumberFormat="1" applyFont="1" applyFill="1" applyBorder="1" applyAlignment="1" applyProtection="1"/>
    <xf numFmtId="0" fontId="8" fillId="0" borderId="11" xfId="0" applyFont="1" applyBorder="1"/>
    <xf numFmtId="0" fontId="22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2" fillId="0" borderId="7" xfId="0" applyFont="1" applyBorder="1" applyAlignment="1"/>
    <xf numFmtId="0" fontId="22" fillId="0" borderId="8" xfId="0" applyFont="1" applyBorder="1" applyAlignment="1"/>
    <xf numFmtId="0" fontId="22" fillId="0" borderId="5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an%20accounts/c-07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man%20accounts/c-09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man%20accounts/gupta-c-08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&amp;p"/>
      <sheetName val="R-sch"/>
      <sheetName val="NP-SCH"/>
      <sheetName val="PLAN-SCH"/>
      <sheetName val="c-r&amp;p"/>
      <sheetName val="c-i&amp;e"/>
      <sheetName val="I&amp;E"/>
      <sheetName val="asset sch"/>
      <sheetName val="C-BS"/>
      <sheetName val="liability sch"/>
      <sheetName val="BS"/>
      <sheetName val="I-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99">
          <cell r="B299">
            <v>138778000</v>
          </cell>
        </row>
        <row r="305">
          <cell r="B305">
            <v>0</v>
          </cell>
        </row>
      </sheetData>
      <sheetData sheetId="8" refreshError="1"/>
      <sheetData sheetId="9" refreshError="1">
        <row r="122">
          <cell r="D122">
            <v>100000</v>
          </cell>
        </row>
        <row r="162">
          <cell r="D162">
            <v>992837.38</v>
          </cell>
        </row>
        <row r="166">
          <cell r="D166">
            <v>0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-SCH"/>
      <sheetName val="r&amp;p"/>
      <sheetName val="R-sch"/>
      <sheetName val="NP-SCH"/>
      <sheetName val="c-r&amp;p"/>
      <sheetName val="I&amp;E"/>
      <sheetName val="assets-sch"/>
      <sheetName val="c-i&amp;e"/>
      <sheetName val="I-SCH"/>
      <sheetName val="liability-sch"/>
      <sheetName val="bs"/>
      <sheetName val="Sheet1"/>
      <sheetName val="c-bs"/>
      <sheetName val="expenditure detailed"/>
      <sheetName val="Compatibilit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08">
          <cell r="E508">
            <v>0</v>
          </cell>
          <cell r="O508">
            <v>0</v>
          </cell>
        </row>
        <row r="2831">
          <cell r="D2831">
            <v>0</v>
          </cell>
        </row>
      </sheetData>
      <sheetData sheetId="5" refreshError="1"/>
      <sheetData sheetId="6" refreshError="1">
        <row r="308">
          <cell r="T308">
            <v>4125669052.6700001</v>
          </cell>
        </row>
      </sheetData>
      <sheetData sheetId="7" refreshError="1"/>
      <sheetData sheetId="8" refreshError="1"/>
      <sheetData sheetId="9" refreshError="1">
        <row r="199">
          <cell r="AD199">
            <v>825142842.02999985</v>
          </cell>
        </row>
      </sheetData>
      <sheetData sheetId="10" refreshError="1">
        <row r="11">
          <cell r="A11" t="str">
            <v>INCOME &amp; EXPENDITURE ACCOUNT</v>
          </cell>
        </row>
        <row r="20">
          <cell r="E20">
            <v>126757664</v>
          </cell>
        </row>
        <row r="70">
          <cell r="E70">
            <v>66170688.270000003</v>
          </cell>
        </row>
      </sheetData>
      <sheetData sheetId="11" refreshError="1"/>
      <sheetData sheetId="12" refreshError="1">
        <row r="37">
          <cell r="T37">
            <v>-1182568862.4300001</v>
          </cell>
        </row>
        <row r="180">
          <cell r="T180">
            <v>825142842.02999997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&amp;p"/>
      <sheetName val="R-sch"/>
      <sheetName val="NP-SCH"/>
      <sheetName val="PLAN-SCH"/>
      <sheetName val="c-r&amp;p"/>
      <sheetName val="c-i&amp;e"/>
      <sheetName val="I&amp;E"/>
      <sheetName val="asset sch"/>
      <sheetName val="C-BS"/>
      <sheetName val="liability sch"/>
      <sheetName val="I-SCH"/>
      <sheetName val="Sheet1"/>
      <sheetName val="B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BI1097"/>
  <sheetViews>
    <sheetView topLeftCell="A895" zoomScale="66" zoomScaleNormal="66" workbookViewId="0">
      <selection activeCell="D920" sqref="D919:D920"/>
    </sheetView>
  </sheetViews>
  <sheetFormatPr defaultRowHeight="15.75"/>
  <cols>
    <col min="1" max="1" width="85.7109375" style="77" customWidth="1"/>
    <col min="2" max="2" width="32" style="77" customWidth="1"/>
    <col min="3" max="3" width="30.42578125" style="77" customWidth="1"/>
    <col min="4" max="4" width="27.42578125" style="77" customWidth="1"/>
    <col min="5" max="5" width="24.5703125" style="77" customWidth="1"/>
    <col min="6" max="6" width="24.85546875" style="77" customWidth="1"/>
    <col min="7" max="7" width="28.7109375" style="77" customWidth="1"/>
    <col min="8" max="8" width="22.85546875" style="77" customWidth="1"/>
    <col min="9" max="9" width="27.140625" style="77" customWidth="1"/>
    <col min="10" max="10" width="19.7109375" style="77" customWidth="1"/>
    <col min="11" max="11" width="21.42578125" style="77" customWidth="1"/>
    <col min="12" max="19" width="19.7109375" style="77" customWidth="1"/>
    <col min="20" max="20" width="25.28515625" style="77" customWidth="1"/>
    <col min="21" max="21" width="25.42578125" style="77" customWidth="1"/>
    <col min="22" max="24" width="17.7109375" style="77" customWidth="1"/>
    <col min="25" max="25" width="23.5703125" style="77" customWidth="1"/>
    <col min="26" max="26" width="26.28515625" style="77" customWidth="1"/>
    <col min="27" max="34" width="24" style="77" customWidth="1"/>
    <col min="35" max="35" width="22.140625" style="77" customWidth="1"/>
    <col min="36" max="36" width="13.42578125" style="77" customWidth="1"/>
    <col min="37" max="37" width="13.7109375" style="77" customWidth="1"/>
    <col min="38" max="38" width="13" style="77" customWidth="1"/>
    <col min="39" max="39" width="22.42578125" style="77" customWidth="1"/>
    <col min="40" max="40" width="13.140625" style="77" customWidth="1"/>
    <col min="41" max="41" width="10.42578125" style="77" bestFit="1" customWidth="1"/>
    <col min="42" max="16384" width="9.140625" style="77"/>
  </cols>
  <sheetData>
    <row r="1" spans="1:61">
      <c r="A1" s="187"/>
      <c r="B1" s="187"/>
      <c r="C1" s="187"/>
      <c r="F1" s="187"/>
      <c r="G1" s="187"/>
      <c r="H1" s="187"/>
      <c r="K1" s="187"/>
      <c r="L1" s="187"/>
      <c r="M1" s="187"/>
      <c r="N1" s="187"/>
      <c r="O1" s="187"/>
    </row>
    <row r="2" spans="1:61">
      <c r="A2" s="215" t="s">
        <v>137</v>
      </c>
      <c r="C2" s="9" t="s">
        <v>829</v>
      </c>
      <c r="K2" s="43"/>
      <c r="M2" s="9"/>
      <c r="N2" s="9"/>
      <c r="O2" s="9"/>
    </row>
    <row r="3" spans="1:61">
      <c r="A3" s="215"/>
      <c r="C3" s="9"/>
      <c r="K3" s="43"/>
      <c r="M3" s="9"/>
      <c r="N3" s="9"/>
      <c r="O3" s="9"/>
    </row>
    <row r="4" spans="1:61">
      <c r="A4" s="9" t="s">
        <v>536</v>
      </c>
      <c r="C4" s="9"/>
      <c r="K4" s="43"/>
      <c r="M4" s="9"/>
      <c r="N4" s="9"/>
      <c r="O4" s="9"/>
    </row>
    <row r="5" spans="1:61">
      <c r="B5" s="194" t="s">
        <v>542</v>
      </c>
      <c r="C5" s="194" t="s">
        <v>543</v>
      </c>
      <c r="F5" s="216" t="s">
        <v>249</v>
      </c>
      <c r="G5" s="216" t="s">
        <v>138</v>
      </c>
      <c r="H5" s="216" t="s">
        <v>437</v>
      </c>
      <c r="I5" s="216" t="s">
        <v>21</v>
      </c>
      <c r="J5" s="216"/>
      <c r="K5" s="216" t="s">
        <v>561</v>
      </c>
      <c r="L5" s="216" t="s">
        <v>594</v>
      </c>
      <c r="M5" s="216" t="s">
        <v>560</v>
      </c>
      <c r="N5" s="216" t="s">
        <v>250</v>
      </c>
      <c r="O5" s="217" t="s">
        <v>255</v>
      </c>
      <c r="P5" s="217" t="s">
        <v>68</v>
      </c>
      <c r="Q5" s="217" t="s">
        <v>23</v>
      </c>
      <c r="R5" s="217" t="s">
        <v>20</v>
      </c>
      <c r="S5" s="216" t="s">
        <v>18</v>
      </c>
      <c r="T5" s="216" t="s">
        <v>256</v>
      </c>
      <c r="U5" s="217" t="s">
        <v>257</v>
      </c>
      <c r="V5" s="216" t="s">
        <v>535</v>
      </c>
      <c r="W5" s="216" t="s">
        <v>642</v>
      </c>
      <c r="X5" s="218" t="s">
        <v>611</v>
      </c>
    </row>
    <row r="6" spans="1:61">
      <c r="A6" s="9"/>
      <c r="B6" s="194" t="s">
        <v>83</v>
      </c>
      <c r="C6" s="194" t="s">
        <v>537</v>
      </c>
      <c r="F6" s="219"/>
      <c r="G6" s="219"/>
      <c r="H6" s="219"/>
      <c r="I6" s="219"/>
      <c r="J6" s="219"/>
      <c r="K6" s="219"/>
      <c r="L6" s="219"/>
      <c r="M6" s="219"/>
      <c r="N6" s="219"/>
      <c r="O6" s="194" t="s">
        <v>259</v>
      </c>
      <c r="P6" s="194" t="s">
        <v>259</v>
      </c>
      <c r="Q6" s="220"/>
      <c r="R6" s="220"/>
      <c r="S6" s="219"/>
      <c r="T6" s="221" t="s">
        <v>22</v>
      </c>
      <c r="U6" s="220"/>
      <c r="V6" s="219"/>
      <c r="W6" s="219"/>
      <c r="X6" s="220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1">
      <c r="A7" s="43"/>
      <c r="B7" s="195"/>
      <c r="C7" s="195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>
      <c r="A8" s="187" t="s">
        <v>139</v>
      </c>
      <c r="B8" s="68">
        <f>+X8</f>
        <v>4125669052.6699996</v>
      </c>
      <c r="C8" s="68">
        <v>3630995913.29</v>
      </c>
      <c r="F8" s="222">
        <v>414378253.82999998</v>
      </c>
      <c r="G8" s="222">
        <v>52434884</v>
      </c>
      <c r="H8" s="222">
        <v>566398854.01999998</v>
      </c>
      <c r="I8" s="222">
        <v>283352985.41000003</v>
      </c>
      <c r="J8" s="222"/>
      <c r="K8" s="222">
        <v>11385183.699999999</v>
      </c>
      <c r="L8" s="222">
        <v>134761659.34</v>
      </c>
      <c r="M8" s="222">
        <v>25784390</v>
      </c>
      <c r="N8" s="222">
        <v>237483950.47999999</v>
      </c>
      <c r="Q8" s="222">
        <v>287473461.88999999</v>
      </c>
      <c r="R8" s="222">
        <v>317075922.28999996</v>
      </c>
      <c r="S8" s="222">
        <v>452187827</v>
      </c>
      <c r="T8" s="222">
        <v>477214884.26999998</v>
      </c>
      <c r="U8" s="222">
        <v>673182593.54999995</v>
      </c>
      <c r="V8" s="222">
        <v>192554202.89000002</v>
      </c>
      <c r="W8" s="222">
        <v>0</v>
      </c>
      <c r="X8" s="68">
        <f>SUM(F8:W8)</f>
        <v>4125669052.6699996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>
      <c r="A9" s="187" t="s">
        <v>140</v>
      </c>
      <c r="B9" s="68">
        <v>0</v>
      </c>
      <c r="C9" s="68">
        <v>332513997.82999998</v>
      </c>
      <c r="F9" s="222"/>
      <c r="G9" s="222"/>
      <c r="H9" s="222"/>
      <c r="I9" s="222"/>
      <c r="J9" s="222"/>
      <c r="K9" s="222"/>
      <c r="L9" s="222"/>
      <c r="M9" s="222"/>
      <c r="N9" s="222"/>
      <c r="Q9" s="222"/>
      <c r="R9" s="222"/>
      <c r="S9" s="222"/>
      <c r="T9" s="222"/>
      <c r="U9" s="222"/>
      <c r="V9" s="222"/>
      <c r="W9" s="222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</row>
    <row r="10" spans="1:61">
      <c r="A10" s="187" t="s">
        <v>141</v>
      </c>
      <c r="B10" s="68">
        <f>X14</f>
        <v>0</v>
      </c>
      <c r="C10" s="68">
        <v>10150043</v>
      </c>
      <c r="F10" s="222">
        <v>5024291</v>
      </c>
      <c r="G10" s="222"/>
      <c r="H10" s="222">
        <f>2094175+453475</f>
        <v>2547650</v>
      </c>
      <c r="I10" s="222">
        <f>652933+1195494</f>
        <v>1848427</v>
      </c>
      <c r="J10" s="222"/>
      <c r="K10" s="222">
        <v>1021084</v>
      </c>
      <c r="L10" s="222">
        <v>408641</v>
      </c>
      <c r="M10" s="222">
        <f>811143+756201</f>
        <v>1567344</v>
      </c>
      <c r="N10" s="222">
        <f>1359118</f>
        <v>1359118</v>
      </c>
      <c r="Q10" s="222">
        <v>869155</v>
      </c>
      <c r="R10" s="222">
        <v>4486538</v>
      </c>
      <c r="S10" s="222">
        <f>1293189</f>
        <v>1293189</v>
      </c>
      <c r="T10" s="222">
        <f>3265173</f>
        <v>3265173</v>
      </c>
      <c r="U10" s="222">
        <v>179352528.24000001</v>
      </c>
      <c r="V10" s="222">
        <v>5164769</v>
      </c>
      <c r="W10" s="222">
        <f>2374904-2178029</f>
        <v>196875</v>
      </c>
      <c r="X10" s="68">
        <f>SUM(F10:W10)</f>
        <v>208404782.24000001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</row>
    <row r="11" spans="1:61">
      <c r="A11" s="187" t="s">
        <v>142</v>
      </c>
      <c r="B11" s="68">
        <f>X16</f>
        <v>0</v>
      </c>
      <c r="C11" s="68">
        <v>10047987.699999999</v>
      </c>
      <c r="F11" s="222"/>
      <c r="G11" s="222"/>
      <c r="H11" s="222"/>
      <c r="I11" s="222"/>
      <c r="J11" s="222"/>
      <c r="K11" s="222"/>
      <c r="L11" s="222"/>
      <c r="M11" s="222"/>
      <c r="N11" s="222"/>
      <c r="Q11" s="222"/>
      <c r="R11" s="222"/>
      <c r="S11" s="222"/>
      <c r="T11" s="222"/>
      <c r="U11" s="222"/>
      <c r="V11" s="222"/>
      <c r="W11" s="222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</row>
    <row r="12" spans="1:61">
      <c r="A12" s="187" t="s">
        <v>143</v>
      </c>
      <c r="B12" s="68">
        <f>X20</f>
        <v>0</v>
      </c>
      <c r="C12" s="68">
        <v>-9343092</v>
      </c>
      <c r="F12" s="222"/>
      <c r="G12" s="222"/>
      <c r="H12" s="222"/>
      <c r="I12" s="222"/>
      <c r="J12" s="222"/>
      <c r="K12" s="222"/>
      <c r="L12" s="222"/>
      <c r="M12" s="222"/>
      <c r="N12" s="222">
        <v>424640</v>
      </c>
      <c r="Q12" s="222"/>
      <c r="R12" s="222"/>
      <c r="S12" s="222">
        <v>111881</v>
      </c>
      <c r="T12" s="222">
        <v>2654630</v>
      </c>
      <c r="U12" s="222"/>
      <c r="V12" s="222"/>
      <c r="W12" s="222">
        <v>2178029</v>
      </c>
      <c r="X12" s="68">
        <f>SUM(F12:W12)</f>
        <v>5369180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1">
      <c r="A13" s="187" t="s">
        <v>144</v>
      </c>
      <c r="B13" s="68">
        <f>X22</f>
        <v>0</v>
      </c>
      <c r="C13" s="68">
        <v>-806951</v>
      </c>
      <c r="F13" s="222"/>
      <c r="G13" s="222"/>
      <c r="H13" s="222"/>
      <c r="I13" s="222"/>
      <c r="J13" s="222"/>
      <c r="K13" s="222"/>
      <c r="L13" s="222"/>
      <c r="M13" s="222"/>
      <c r="N13" s="222"/>
      <c r="Q13" s="222"/>
      <c r="R13" s="222"/>
      <c r="S13" s="222"/>
      <c r="T13" s="222"/>
      <c r="U13" s="222"/>
      <c r="V13" s="222"/>
      <c r="W13" s="222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</row>
    <row r="14" spans="1:61">
      <c r="A14" s="187" t="s">
        <v>145</v>
      </c>
      <c r="B14" s="68">
        <f>X24</f>
        <v>0</v>
      </c>
      <c r="C14" s="68">
        <v>-112015.45</v>
      </c>
      <c r="F14" s="222"/>
      <c r="G14" s="222"/>
      <c r="H14" s="222"/>
      <c r="I14" s="222">
        <v>0</v>
      </c>
      <c r="J14" s="222"/>
      <c r="K14" s="222"/>
      <c r="L14" s="222"/>
      <c r="M14" s="222">
        <v>0</v>
      </c>
      <c r="N14" s="222"/>
      <c r="Q14" s="222"/>
      <c r="R14" s="222"/>
      <c r="S14" s="222">
        <v>0</v>
      </c>
      <c r="T14" s="222"/>
      <c r="U14" s="222"/>
      <c r="V14" s="222">
        <v>0</v>
      </c>
      <c r="W14" s="222"/>
      <c r="X14" s="222">
        <f>SUM(F14:V14)</f>
        <v>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</row>
    <row r="15" spans="1:61">
      <c r="A15" s="187" t="s">
        <v>146</v>
      </c>
      <c r="B15" s="68">
        <v>0</v>
      </c>
      <c r="C15" s="68">
        <v>2701952</v>
      </c>
      <c r="F15" s="222"/>
      <c r="G15" s="222"/>
      <c r="H15" s="222"/>
      <c r="I15" s="222"/>
      <c r="J15" s="222"/>
      <c r="K15" s="222"/>
      <c r="L15" s="222"/>
      <c r="M15" s="222"/>
      <c r="N15" s="222"/>
      <c r="Q15" s="222"/>
      <c r="R15" s="222"/>
      <c r="S15" s="222"/>
      <c r="T15" s="222"/>
      <c r="U15" s="222"/>
      <c r="V15" s="222"/>
      <c r="W15" s="222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</row>
    <row r="16" spans="1:61">
      <c r="A16" s="187" t="s">
        <v>807</v>
      </c>
      <c r="B16" s="68">
        <v>-4125669052.6700001</v>
      </c>
      <c r="C16" s="68">
        <v>0</v>
      </c>
      <c r="F16" s="222"/>
      <c r="G16" s="222"/>
      <c r="H16" s="222"/>
      <c r="I16" s="222"/>
      <c r="J16" s="222"/>
      <c r="K16" s="222">
        <v>0</v>
      </c>
      <c r="L16" s="222"/>
      <c r="M16" s="222"/>
      <c r="N16" s="222"/>
      <c r="Q16" s="222"/>
      <c r="R16" s="222"/>
      <c r="S16" s="222"/>
      <c r="T16" s="222"/>
      <c r="U16" s="222"/>
      <c r="V16" s="222"/>
      <c r="W16" s="222"/>
      <c r="X16" s="222">
        <f>SUM(F16:V16)</f>
        <v>0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</row>
    <row r="17" spans="1:61">
      <c r="A17" s="187" t="s">
        <v>791</v>
      </c>
      <c r="B17" s="68">
        <v>0</v>
      </c>
      <c r="C17" s="68">
        <v>0</v>
      </c>
      <c r="F17" s="222"/>
      <c r="G17" s="222"/>
      <c r="H17" s="222"/>
      <c r="I17" s="222"/>
      <c r="J17" s="222"/>
      <c r="K17" s="222"/>
      <c r="L17" s="222"/>
      <c r="M17" s="222"/>
      <c r="N17" s="222"/>
      <c r="Q17" s="222"/>
      <c r="R17" s="222"/>
      <c r="S17" s="222"/>
      <c r="T17" s="222"/>
      <c r="U17" s="222"/>
      <c r="V17" s="222"/>
      <c r="W17" s="222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</row>
    <row r="18" spans="1:61">
      <c r="A18" s="187" t="s">
        <v>147</v>
      </c>
      <c r="B18" s="68">
        <v>0</v>
      </c>
      <c r="C18" s="68">
        <v>-2701952</v>
      </c>
      <c r="F18" s="222">
        <v>0</v>
      </c>
      <c r="G18" s="222"/>
      <c r="H18" s="222">
        <v>0</v>
      </c>
      <c r="I18" s="222">
        <v>0</v>
      </c>
      <c r="J18" s="222"/>
      <c r="K18" s="222">
        <v>0</v>
      </c>
      <c r="L18" s="222">
        <v>0</v>
      </c>
      <c r="M18" s="222">
        <v>0</v>
      </c>
      <c r="N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/>
      <c r="X18" s="77">
        <f>SUM(F18:V18)</f>
        <v>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1">
      <c r="A19" s="187" t="s">
        <v>148</v>
      </c>
      <c r="B19" s="68">
        <f>X34</f>
        <v>0</v>
      </c>
      <c r="C19" s="68">
        <v>-10047987.699999999</v>
      </c>
      <c r="F19" s="222"/>
      <c r="G19" s="222"/>
      <c r="H19" s="222"/>
      <c r="I19" s="222"/>
      <c r="J19" s="222"/>
      <c r="K19" s="222"/>
      <c r="L19" s="222"/>
      <c r="M19" s="222"/>
      <c r="N19" s="222"/>
      <c r="Q19" s="222"/>
      <c r="R19" s="222"/>
      <c r="S19" s="222"/>
      <c r="T19" s="222"/>
      <c r="U19" s="222"/>
      <c r="V19" s="222"/>
      <c r="W19" s="222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>
      <c r="A20" s="187" t="s">
        <v>149</v>
      </c>
      <c r="B20" s="68">
        <v>0</v>
      </c>
      <c r="C20" s="68">
        <v>-178344793</v>
      </c>
      <c r="F20" s="222"/>
      <c r="G20" s="222"/>
      <c r="H20" s="222">
        <v>0</v>
      </c>
      <c r="I20" s="222"/>
      <c r="J20" s="222"/>
      <c r="K20" s="222"/>
      <c r="L20" s="222"/>
      <c r="M20" s="222"/>
      <c r="N20" s="222"/>
      <c r="Q20" s="222"/>
      <c r="R20" s="222"/>
      <c r="S20" s="222"/>
      <c r="T20" s="222"/>
      <c r="U20" s="222"/>
      <c r="V20" s="222"/>
      <c r="W20" s="222"/>
      <c r="X20" s="222">
        <f>SUM(F20:V20)</f>
        <v>0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>
      <c r="A21" s="187" t="s">
        <v>150</v>
      </c>
      <c r="B21" s="68">
        <v>0</v>
      </c>
      <c r="C21" s="68">
        <v>340615950</v>
      </c>
      <c r="F21" s="222"/>
      <c r="G21" s="222"/>
      <c r="H21" s="222"/>
      <c r="I21" s="222"/>
      <c r="J21" s="222"/>
      <c r="K21" s="222"/>
      <c r="L21" s="222"/>
      <c r="M21" s="222"/>
      <c r="N21" s="222"/>
      <c r="Q21" s="222"/>
      <c r="R21" s="222"/>
      <c r="S21" s="222"/>
      <c r="T21" s="222"/>
      <c r="U21" s="222"/>
      <c r="V21" s="222"/>
      <c r="W21" s="222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6.5" thickBot="1">
      <c r="A22" s="200" t="s">
        <v>151</v>
      </c>
      <c r="B22" s="223">
        <f>SUM(B8:B21)</f>
        <v>-4.76837158203125E-7</v>
      </c>
      <c r="C22" s="223">
        <f>SUM(C8:C21)</f>
        <v>4125669052.6700001</v>
      </c>
      <c r="F22" s="222">
        <v>0</v>
      </c>
      <c r="G22" s="222"/>
      <c r="H22" s="222">
        <v>0</v>
      </c>
      <c r="I22" s="222">
        <v>0</v>
      </c>
      <c r="J22" s="222"/>
      <c r="K22" s="222">
        <v>0</v>
      </c>
      <c r="L22" s="222">
        <v>0</v>
      </c>
      <c r="M22" s="222">
        <v>0</v>
      </c>
      <c r="N22" s="222">
        <v>0</v>
      </c>
      <c r="Q22" s="222">
        <v>0</v>
      </c>
      <c r="R22" s="222">
        <v>0</v>
      </c>
      <c r="S22" s="222">
        <v>0</v>
      </c>
      <c r="T22" s="222">
        <v>0</v>
      </c>
      <c r="U22" s="222">
        <v>0</v>
      </c>
      <c r="V22" s="222">
        <v>0</v>
      </c>
      <c r="W22" s="222"/>
      <c r="X22" s="222">
        <f>SUM(F22:V22)</f>
        <v>0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6.5" thickTop="1">
      <c r="F23" s="222"/>
      <c r="G23" s="222"/>
      <c r="H23" s="222"/>
      <c r="I23" s="222"/>
      <c r="J23" s="222"/>
      <c r="K23" s="222"/>
      <c r="L23" s="222"/>
      <c r="M23" s="222"/>
      <c r="N23" s="222"/>
      <c r="Q23" s="222"/>
      <c r="R23" s="222"/>
      <c r="S23" s="222"/>
      <c r="T23" s="222"/>
      <c r="U23" s="222"/>
      <c r="V23" s="222"/>
      <c r="W23" s="222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>
      <c r="F24" s="222"/>
      <c r="G24" s="222"/>
      <c r="H24" s="222"/>
      <c r="I24" s="222"/>
      <c r="J24" s="222"/>
      <c r="K24" s="222"/>
      <c r="L24" s="222"/>
      <c r="M24" s="222"/>
      <c r="N24" s="222"/>
      <c r="Q24" s="222"/>
      <c r="R24" s="222"/>
      <c r="S24" s="222"/>
      <c r="T24" s="222"/>
      <c r="U24" s="222"/>
      <c r="V24" s="222">
        <v>0</v>
      </c>
      <c r="W24" s="222"/>
      <c r="X24" s="77">
        <f>SUM(F24:V24)</f>
        <v>0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>
      <c r="F25" s="222"/>
      <c r="G25" s="222"/>
      <c r="H25" s="222"/>
      <c r="I25" s="222"/>
      <c r="J25" s="222"/>
      <c r="K25" s="222"/>
      <c r="L25" s="222"/>
      <c r="M25" s="222"/>
      <c r="N25" s="222"/>
      <c r="Q25" s="222"/>
      <c r="R25" s="222"/>
      <c r="S25" s="222"/>
      <c r="T25" s="222"/>
      <c r="U25" s="222"/>
      <c r="V25" s="222"/>
      <c r="W25" s="222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>
      <c r="F26" s="222"/>
      <c r="G26" s="222"/>
      <c r="H26" s="222"/>
      <c r="I26" s="222"/>
      <c r="J26" s="222"/>
      <c r="K26" s="222"/>
      <c r="L26" s="222"/>
      <c r="M26" s="222"/>
      <c r="N26" s="222"/>
      <c r="Q26" s="222"/>
      <c r="R26" s="222"/>
      <c r="S26" s="222"/>
      <c r="T26" s="222"/>
      <c r="U26" s="222"/>
      <c r="V26" s="222"/>
      <c r="W26" s="222"/>
      <c r="X26" s="77">
        <f>SUM(F26:V26)</f>
        <v>0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>
      <c r="F27" s="222"/>
      <c r="G27" s="222"/>
      <c r="H27" s="222"/>
      <c r="I27" s="222"/>
      <c r="J27" s="222"/>
      <c r="K27" s="222"/>
      <c r="L27" s="222"/>
      <c r="M27" s="222"/>
      <c r="N27" s="222"/>
      <c r="Q27" s="222"/>
      <c r="R27" s="222"/>
      <c r="S27" s="222"/>
      <c r="T27" s="222"/>
      <c r="U27" s="222"/>
      <c r="V27" s="222"/>
      <c r="W27" s="222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61">
      <c r="F28" s="222"/>
      <c r="G28" s="222"/>
      <c r="H28" s="222"/>
      <c r="I28" s="222"/>
      <c r="J28" s="222"/>
      <c r="K28" s="222"/>
      <c r="L28" s="222"/>
      <c r="M28" s="222"/>
      <c r="N28" s="222"/>
      <c r="Q28" s="222">
        <v>40000000</v>
      </c>
      <c r="R28" s="222"/>
      <c r="S28" s="222"/>
      <c r="T28" s="222"/>
      <c r="U28" s="222"/>
      <c r="V28" s="222">
        <v>0</v>
      </c>
      <c r="W28" s="222"/>
      <c r="X28" s="222">
        <f>SUM(F28:V28)</f>
        <v>40000000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61">
      <c r="F29" s="222"/>
      <c r="G29" s="222"/>
      <c r="H29" s="222"/>
      <c r="I29" s="222"/>
      <c r="J29" s="222"/>
      <c r="K29" s="222"/>
      <c r="L29" s="222"/>
      <c r="M29" s="222"/>
      <c r="N29" s="222"/>
      <c r="Q29" s="222"/>
      <c r="R29" s="222"/>
      <c r="S29" s="222"/>
      <c r="T29" s="222"/>
      <c r="U29" s="222"/>
      <c r="V29" s="222"/>
      <c r="W29" s="222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61">
      <c r="F30" s="222"/>
      <c r="G30" s="222"/>
      <c r="H30" s="222">
        <v>0</v>
      </c>
      <c r="I30" s="222">
        <v>0</v>
      </c>
      <c r="J30" s="222"/>
      <c r="K30" s="222"/>
      <c r="L30" s="222"/>
      <c r="M30" s="222">
        <v>0</v>
      </c>
      <c r="N30" s="222">
        <v>0</v>
      </c>
      <c r="Q30" s="222">
        <v>0</v>
      </c>
      <c r="R30" s="222"/>
      <c r="S30" s="222">
        <v>0</v>
      </c>
      <c r="T30" s="222">
        <v>0</v>
      </c>
      <c r="U30" s="222"/>
      <c r="V30" s="222"/>
      <c r="W30" s="222"/>
      <c r="X30" s="68">
        <f>SUM(F30:V30)</f>
        <v>0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61">
      <c r="F31" s="222"/>
      <c r="G31" s="222"/>
      <c r="H31" s="222"/>
      <c r="I31" s="222"/>
      <c r="J31" s="222"/>
      <c r="K31" s="222"/>
      <c r="L31" s="222"/>
      <c r="M31" s="222"/>
      <c r="N31" s="222"/>
      <c r="Q31" s="222"/>
      <c r="R31" s="222"/>
      <c r="S31" s="222"/>
      <c r="T31" s="222"/>
      <c r="U31" s="222"/>
      <c r="V31" s="222"/>
      <c r="W31" s="222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61">
      <c r="F32" s="222"/>
      <c r="G32" s="222"/>
      <c r="H32" s="222"/>
      <c r="I32" s="222"/>
      <c r="J32" s="222"/>
      <c r="K32" s="222"/>
      <c r="L32" s="222"/>
      <c r="M32" s="222"/>
      <c r="N32" s="222"/>
      <c r="Q32" s="222">
        <v>-40000000</v>
      </c>
      <c r="R32" s="222"/>
      <c r="S32" s="222"/>
      <c r="T32" s="222"/>
      <c r="U32" s="222"/>
      <c r="V32" s="222">
        <v>0</v>
      </c>
      <c r="W32" s="222"/>
      <c r="X32" s="222">
        <f>SUM(F32:V32)</f>
        <v>-40000000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>
      <c r="A33" s="187"/>
      <c r="B33" s="199"/>
      <c r="C33" s="68"/>
      <c r="D33" s="68"/>
      <c r="F33" s="222"/>
      <c r="G33" s="222"/>
      <c r="H33" s="222"/>
      <c r="I33" s="222"/>
      <c r="J33" s="222"/>
      <c r="K33" s="222"/>
      <c r="L33" s="222"/>
      <c r="M33" s="222"/>
      <c r="N33" s="222"/>
      <c r="Q33" s="222"/>
      <c r="R33" s="222"/>
      <c r="S33" s="222"/>
      <c r="T33" s="222"/>
      <c r="U33" s="222"/>
      <c r="V33" s="222"/>
      <c r="W33" s="222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>
      <c r="F34" s="222"/>
      <c r="G34" s="222"/>
      <c r="H34" s="222"/>
      <c r="I34" s="222">
        <v>0</v>
      </c>
      <c r="J34" s="222"/>
      <c r="K34" s="222"/>
      <c r="L34" s="222"/>
      <c r="M34" s="222"/>
      <c r="N34" s="222"/>
      <c r="Q34" s="222"/>
      <c r="R34" s="222"/>
      <c r="S34" s="222"/>
      <c r="T34" s="222"/>
      <c r="U34" s="222"/>
      <c r="V34" s="222"/>
      <c r="W34" s="222"/>
      <c r="X34" s="222">
        <f>SUM(F34:V34)</f>
        <v>0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>
      <c r="A35" s="187"/>
      <c r="B35" s="199"/>
      <c r="C35" s="68"/>
      <c r="D35" s="68"/>
      <c r="F35" s="222"/>
      <c r="G35" s="222"/>
      <c r="H35" s="222"/>
      <c r="I35" s="222"/>
      <c r="J35" s="222"/>
      <c r="K35" s="222"/>
      <c r="L35" s="222"/>
      <c r="M35" s="222"/>
      <c r="N35" s="222"/>
      <c r="Q35" s="222"/>
      <c r="R35" s="222"/>
      <c r="S35" s="222"/>
      <c r="T35" s="222"/>
      <c r="U35" s="222"/>
      <c r="V35" s="222"/>
      <c r="W35" s="222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>
      <c r="F36" s="222">
        <v>-17351444</v>
      </c>
      <c r="G36" s="222"/>
      <c r="H36" s="222">
        <v>-5405866</v>
      </c>
      <c r="I36" s="222">
        <v>-2921228</v>
      </c>
      <c r="J36" s="222"/>
      <c r="K36" s="222">
        <v>-1518712</v>
      </c>
      <c r="L36" s="222">
        <v>-3869699</v>
      </c>
      <c r="M36" s="222">
        <v>-1625891</v>
      </c>
      <c r="N36" s="222">
        <v>-7963902</v>
      </c>
      <c r="Q36" s="222">
        <v>-8400546</v>
      </c>
      <c r="R36" s="222">
        <v>-6127679</v>
      </c>
      <c r="S36" s="222">
        <v>-9319787</v>
      </c>
      <c r="T36" s="222">
        <v>-12214800</v>
      </c>
      <c r="U36" s="222">
        <v>-127029854</v>
      </c>
      <c r="V36" s="222">
        <v>-8435654</v>
      </c>
      <c r="W36" s="222">
        <v>-356236</v>
      </c>
      <c r="X36" s="68">
        <f>SUM(F36:W36)</f>
        <v>-212541298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>
      <c r="A37" s="187"/>
      <c r="B37" s="199"/>
      <c r="C37" s="68"/>
      <c r="D37" s="68"/>
      <c r="F37" s="222"/>
      <c r="G37" s="222"/>
      <c r="H37" s="222"/>
      <c r="I37" s="222"/>
      <c r="J37" s="222"/>
      <c r="K37" s="222"/>
      <c r="L37" s="222"/>
      <c r="M37" s="222"/>
      <c r="N37" s="222"/>
      <c r="Q37" s="222"/>
      <c r="R37" s="222"/>
      <c r="S37" s="222"/>
      <c r="T37" s="222"/>
      <c r="U37" s="222"/>
      <c r="V37" s="222"/>
      <c r="W37" s="222"/>
      <c r="X37" s="222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>
      <c r="A38" s="187" t="s">
        <v>544</v>
      </c>
      <c r="B38" s="199"/>
      <c r="C38" s="68" t="s">
        <v>544</v>
      </c>
      <c r="D38" s="68" t="s">
        <v>544</v>
      </c>
      <c r="F38" s="222"/>
      <c r="G38" s="222"/>
      <c r="H38" s="222"/>
      <c r="I38" s="222">
        <v>4950665</v>
      </c>
      <c r="J38" s="222"/>
      <c r="K38" s="222"/>
      <c r="L38" s="222"/>
      <c r="M38" s="222"/>
      <c r="N38" s="222"/>
      <c r="Q38" s="222"/>
      <c r="R38" s="222"/>
      <c r="S38" s="222"/>
      <c r="T38" s="222"/>
      <c r="U38" s="222"/>
      <c r="V38" s="222"/>
      <c r="W38" s="222"/>
      <c r="X38" s="68">
        <f>SUM(F38:V38)</f>
        <v>4950665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>
      <c r="A39" s="187" t="s">
        <v>544</v>
      </c>
      <c r="B39" s="187" t="s">
        <v>544</v>
      </c>
      <c r="C39" s="68"/>
      <c r="D39" s="68"/>
      <c r="F39" s="222"/>
      <c r="G39" s="222"/>
      <c r="H39" s="222"/>
      <c r="I39" s="222"/>
      <c r="J39" s="222"/>
      <c r="K39" s="222"/>
      <c r="L39" s="222"/>
      <c r="M39" s="222"/>
      <c r="N39" s="222"/>
      <c r="Q39" s="222"/>
      <c r="R39" s="222"/>
      <c r="S39" s="222"/>
      <c r="T39" s="222"/>
      <c r="U39" s="222"/>
      <c r="V39" s="222"/>
      <c r="W39" s="222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>
      <c r="F40" s="222">
        <v>110652500</v>
      </c>
      <c r="G40" s="222"/>
      <c r="H40" s="222">
        <v>50182000</v>
      </c>
      <c r="I40" s="222">
        <v>71865427</v>
      </c>
      <c r="J40" s="222"/>
      <c r="K40" s="222"/>
      <c r="L40" s="222"/>
      <c r="M40" s="222">
        <v>26463000</v>
      </c>
      <c r="N40" s="222">
        <v>11602000</v>
      </c>
      <c r="Q40" s="68">
        <v>70051000</v>
      </c>
      <c r="R40" s="222">
        <v>60871271</v>
      </c>
      <c r="S40" s="222">
        <v>71974000</v>
      </c>
      <c r="T40" s="222">
        <v>160813700</v>
      </c>
      <c r="U40" s="222"/>
      <c r="V40" s="222">
        <v>42341200</v>
      </c>
      <c r="W40" s="222"/>
      <c r="X40" s="222">
        <f>SUM(F40:V40)</f>
        <v>676816098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>
      <c r="A41" s="187"/>
      <c r="B41" s="187"/>
      <c r="C41" s="68"/>
      <c r="D41" s="202"/>
      <c r="F41" s="222"/>
      <c r="G41" s="222"/>
      <c r="H41" s="222"/>
      <c r="I41" s="222"/>
      <c r="J41" s="222"/>
      <c r="K41" s="222"/>
      <c r="L41" s="222"/>
      <c r="M41" s="222"/>
      <c r="N41" s="222"/>
      <c r="Q41" s="222"/>
      <c r="R41" s="222"/>
      <c r="S41" s="222"/>
      <c r="T41" s="222"/>
      <c r="U41" s="222"/>
      <c r="V41" s="222"/>
      <c r="W41" s="222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>
      <c r="F42" s="222">
        <f t="shared" ref="F42:N42" si="0">SUM(F8:F41)</f>
        <v>512703600.82999998</v>
      </c>
      <c r="G42" s="222">
        <f t="shared" si="0"/>
        <v>52434884</v>
      </c>
      <c r="H42" s="224">
        <f t="shared" si="0"/>
        <v>613722638.01999998</v>
      </c>
      <c r="I42" s="222">
        <f>SUM(I8:I41)</f>
        <v>359096276.41000003</v>
      </c>
      <c r="J42" s="222"/>
      <c r="K42" s="224">
        <f t="shared" si="0"/>
        <v>10887555.699999999</v>
      </c>
      <c r="L42" s="222">
        <f t="shared" si="0"/>
        <v>131300601.34</v>
      </c>
      <c r="M42" s="224">
        <f>SUM(M8:M41)</f>
        <v>52188843</v>
      </c>
      <c r="N42" s="222">
        <f t="shared" si="0"/>
        <v>242905806.47999999</v>
      </c>
      <c r="Q42" s="222">
        <f t="shared" ref="Q42:W42" si="1">SUM(Q8:Q41)</f>
        <v>349993070.88999999</v>
      </c>
      <c r="R42" s="222">
        <f t="shared" si="1"/>
        <v>376306052.28999996</v>
      </c>
      <c r="S42" s="222">
        <f t="shared" si="1"/>
        <v>516247110</v>
      </c>
      <c r="T42" s="222">
        <f t="shared" si="1"/>
        <v>631733587.26999998</v>
      </c>
      <c r="U42" s="224">
        <f t="shared" si="1"/>
        <v>725505267.78999996</v>
      </c>
      <c r="V42" s="222">
        <f t="shared" si="1"/>
        <v>231624517.89000002</v>
      </c>
      <c r="W42" s="224">
        <f t="shared" si="1"/>
        <v>2018668</v>
      </c>
      <c r="X42" s="222">
        <f>SUM(F42:W42)</f>
        <v>4808668479.9100008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>
      <c r="A43" s="200"/>
      <c r="C43" s="225" t="s">
        <v>544</v>
      </c>
      <c r="G43" s="187"/>
      <c r="H43" s="226"/>
      <c r="I43" s="226"/>
      <c r="J43" s="226"/>
      <c r="K43" s="226"/>
      <c r="L43" s="227"/>
      <c r="M43" s="222"/>
      <c r="N43" s="222"/>
      <c r="O43" s="222"/>
      <c r="P43" s="222"/>
      <c r="Q43" s="222"/>
      <c r="R43" s="222"/>
      <c r="S43" s="222"/>
      <c r="T43" s="222"/>
      <c r="X43" s="222">
        <f>4809306927.91-X42</f>
        <v>638447.99999904633</v>
      </c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>
      <c r="A44" s="200"/>
      <c r="C44" s="225"/>
      <c r="D44" s="9" t="s">
        <v>544</v>
      </c>
      <c r="G44" s="187"/>
      <c r="H44" s="226"/>
      <c r="I44" s="226"/>
      <c r="J44" s="226"/>
      <c r="K44" s="226"/>
      <c r="L44" s="227"/>
      <c r="M44" s="222"/>
      <c r="N44" s="222"/>
      <c r="O44" s="222"/>
      <c r="P44" s="222"/>
      <c r="Q44" s="222"/>
      <c r="R44" s="222"/>
      <c r="S44" s="222"/>
      <c r="T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>
      <c r="A45" s="200"/>
      <c r="C45" s="229"/>
      <c r="G45" s="187"/>
      <c r="H45" s="226"/>
      <c r="I45" s="226"/>
      <c r="J45" s="226"/>
      <c r="K45" s="226"/>
      <c r="L45" s="227"/>
      <c r="M45" s="222"/>
      <c r="N45" s="222"/>
      <c r="O45" s="222"/>
      <c r="P45" s="222"/>
      <c r="Q45" s="222"/>
      <c r="R45" s="222"/>
      <c r="S45" s="222"/>
      <c r="T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>
      <c r="A46" s="200"/>
      <c r="C46" s="225"/>
      <c r="G46" s="187"/>
      <c r="H46" s="226"/>
      <c r="I46" s="226"/>
      <c r="J46" s="226"/>
      <c r="K46" s="226"/>
      <c r="L46" s="227"/>
      <c r="M46" s="222"/>
      <c r="N46" s="222"/>
      <c r="O46" s="222"/>
      <c r="P46" s="222"/>
      <c r="Q46" s="222"/>
      <c r="R46" s="222"/>
      <c r="S46" s="222"/>
      <c r="T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>
      <c r="A47" s="200"/>
      <c r="C47" s="225"/>
      <c r="G47" s="187"/>
      <c r="H47" s="226"/>
      <c r="I47" s="226"/>
      <c r="J47" s="226"/>
      <c r="K47" s="226"/>
      <c r="L47" s="227"/>
      <c r="M47" s="222"/>
      <c r="N47" s="222"/>
      <c r="O47" s="222"/>
      <c r="P47" s="222"/>
      <c r="Q47" s="222"/>
      <c r="R47" s="222"/>
      <c r="S47" s="222"/>
      <c r="T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>
      <c r="A48" s="215" t="s">
        <v>811</v>
      </c>
      <c r="B48" s="43"/>
      <c r="C48" s="9" t="s">
        <v>830</v>
      </c>
      <c r="L48" s="9"/>
      <c r="M48" s="9"/>
      <c r="N48" s="9"/>
    </row>
    <row r="49" spans="1:35">
      <c r="A49" s="9"/>
      <c r="E49" s="230"/>
      <c r="F49" s="230"/>
    </row>
    <row r="50" spans="1:35">
      <c r="A50" s="9" t="s">
        <v>536</v>
      </c>
      <c r="B50" s="194" t="s">
        <v>542</v>
      </c>
      <c r="C50" s="194" t="s">
        <v>543</v>
      </c>
      <c r="E50" s="9"/>
      <c r="F50" s="9"/>
      <c r="G50" s="9"/>
      <c r="H50" s="9"/>
      <c r="L50" s="194"/>
      <c r="M50" s="194"/>
      <c r="N50" s="194"/>
    </row>
    <row r="51" spans="1:35">
      <c r="A51" s="9"/>
      <c r="B51" s="194" t="s">
        <v>83</v>
      </c>
      <c r="C51" s="194" t="s">
        <v>537</v>
      </c>
      <c r="E51" s="9"/>
      <c r="F51" s="9"/>
      <c r="G51" s="9"/>
      <c r="H51" s="9"/>
      <c r="L51" s="194"/>
      <c r="M51" s="194"/>
      <c r="N51" s="194"/>
    </row>
    <row r="52" spans="1:35">
      <c r="B52" s="197"/>
      <c r="C52" s="197"/>
      <c r="L52" s="197"/>
      <c r="M52" s="197"/>
      <c r="N52" s="197"/>
      <c r="Q52" s="77" t="s">
        <v>623</v>
      </c>
      <c r="R52" s="77" t="s">
        <v>624</v>
      </c>
      <c r="S52" s="77" t="s">
        <v>625</v>
      </c>
      <c r="T52" s="77" t="s">
        <v>626</v>
      </c>
      <c r="U52" s="77" t="s">
        <v>657</v>
      </c>
      <c r="V52" s="77" t="s">
        <v>627</v>
      </c>
      <c r="W52" s="77" t="s">
        <v>654</v>
      </c>
      <c r="X52" s="77" t="s">
        <v>655</v>
      </c>
      <c r="Y52" s="77" t="s">
        <v>656</v>
      </c>
      <c r="Z52" s="77" t="s">
        <v>658</v>
      </c>
      <c r="AA52" s="77" t="s">
        <v>388</v>
      </c>
      <c r="AB52" s="77" t="s">
        <v>362</v>
      </c>
      <c r="AC52" s="77" t="s">
        <v>663</v>
      </c>
      <c r="AD52" s="77" t="s">
        <v>659</v>
      </c>
      <c r="AE52" s="77" t="s">
        <v>660</v>
      </c>
      <c r="AF52" s="77" t="s">
        <v>678</v>
      </c>
      <c r="AG52" s="77" t="s">
        <v>661</v>
      </c>
      <c r="AH52" s="77" t="s">
        <v>662</v>
      </c>
      <c r="AI52" s="77" t="s">
        <v>628</v>
      </c>
    </row>
    <row r="53" spans="1:35">
      <c r="A53" s="187" t="s">
        <v>139</v>
      </c>
      <c r="B53" s="105">
        <v>1174808917.49</v>
      </c>
      <c r="C53" s="68">
        <v>1351120559.25</v>
      </c>
      <c r="E53" s="187"/>
      <c r="F53" s="187"/>
      <c r="G53" s="187"/>
      <c r="H53" s="187"/>
      <c r="L53" s="199"/>
      <c r="M53" s="199"/>
      <c r="N53" s="199"/>
      <c r="P53" s="231" t="s">
        <v>629</v>
      </c>
      <c r="Q53" s="77">
        <v>6808509.71</v>
      </c>
      <c r="R53" s="222">
        <v>-78350</v>
      </c>
      <c r="S53" s="224">
        <v>-28012</v>
      </c>
      <c r="T53" s="222">
        <v>0</v>
      </c>
      <c r="U53" s="222"/>
      <c r="V53" s="232">
        <v>7039784.2199999997</v>
      </c>
      <c r="W53" s="232"/>
      <c r="X53" s="232"/>
      <c r="Y53" s="232"/>
      <c r="Z53" s="222">
        <v>0</v>
      </c>
      <c r="AB53" s="222">
        <v>10000</v>
      </c>
      <c r="AC53" s="222">
        <v>300200</v>
      </c>
      <c r="AI53" s="231">
        <f t="shared" ref="AI53:AI59" si="2">SUM(Q53:AG53)</f>
        <v>14052131.93</v>
      </c>
    </row>
    <row r="54" spans="1:35">
      <c r="A54" s="187" t="s">
        <v>808</v>
      </c>
      <c r="B54" s="105">
        <v>1292990208.03</v>
      </c>
      <c r="C54" s="68">
        <v>-171938339.76000005</v>
      </c>
      <c r="E54" s="187"/>
      <c r="F54" s="187"/>
      <c r="G54" s="187"/>
      <c r="H54" s="187"/>
      <c r="L54" s="187"/>
      <c r="M54" s="187"/>
      <c r="N54" s="187"/>
      <c r="P54" s="231" t="s">
        <v>630</v>
      </c>
      <c r="Q54" s="77">
        <v>-61913838.579999998</v>
      </c>
      <c r="R54" s="222">
        <v>0</v>
      </c>
      <c r="T54" s="222"/>
      <c r="U54" s="222"/>
      <c r="V54" s="232">
        <v>138171818</v>
      </c>
      <c r="W54" s="232">
        <v>-4493528</v>
      </c>
      <c r="X54" s="232">
        <v>4018049</v>
      </c>
      <c r="Y54" s="232"/>
      <c r="Z54" s="222">
        <v>0</v>
      </c>
      <c r="AA54" s="222"/>
      <c r="AB54" s="222"/>
      <c r="AC54" s="222"/>
      <c r="AD54" s="222"/>
      <c r="AE54" s="222"/>
      <c r="AF54" s="222"/>
      <c r="AG54" s="222"/>
      <c r="AH54" s="222"/>
      <c r="AI54" s="77">
        <f t="shared" si="2"/>
        <v>75782500.420000002</v>
      </c>
    </row>
    <row r="55" spans="1:35">
      <c r="A55" s="193" t="s">
        <v>809</v>
      </c>
      <c r="B55" s="68">
        <v>0</v>
      </c>
      <c r="C55" s="68">
        <v>0</v>
      </c>
      <c r="E55" s="187"/>
      <c r="F55" s="187"/>
      <c r="G55" s="187"/>
      <c r="H55" s="187"/>
      <c r="L55" s="187"/>
      <c r="M55" s="187"/>
      <c r="N55" s="187"/>
      <c r="P55" s="231" t="s">
        <v>631</v>
      </c>
      <c r="Q55" s="222">
        <v>138476905</v>
      </c>
      <c r="R55" s="222"/>
      <c r="S55" s="222"/>
      <c r="T55" s="222"/>
      <c r="U55" s="222"/>
      <c r="V55" s="232"/>
      <c r="W55" s="232"/>
      <c r="X55" s="232"/>
      <c r="Y55" s="232"/>
      <c r="Z55" s="222"/>
      <c r="AA55" s="222"/>
      <c r="AB55" s="222"/>
      <c r="AC55" s="222"/>
      <c r="AD55" s="222"/>
      <c r="AE55" s="222"/>
      <c r="AF55" s="222"/>
      <c r="AG55" s="222"/>
      <c r="AH55" s="222"/>
      <c r="AI55" s="77">
        <f t="shared" si="2"/>
        <v>138476905</v>
      </c>
    </row>
    <row r="56" spans="1:35">
      <c r="A56" s="193" t="s">
        <v>810</v>
      </c>
      <c r="B56" s="68">
        <v>0</v>
      </c>
      <c r="C56" s="68">
        <v>0</v>
      </c>
      <c r="E56" s="187"/>
      <c r="F56" s="187"/>
      <c r="G56" s="199" t="s">
        <v>544</v>
      </c>
      <c r="H56" s="199"/>
      <c r="L56" s="199"/>
      <c r="M56" s="199"/>
      <c r="N56" s="199"/>
      <c r="P56" s="231" t="s">
        <v>632</v>
      </c>
      <c r="Q56" s="222">
        <v>945920741.6500001</v>
      </c>
      <c r="R56" s="222"/>
      <c r="S56" s="222"/>
      <c r="T56" s="222"/>
      <c r="U56" s="222"/>
      <c r="V56" s="232">
        <v>-261097954</v>
      </c>
      <c r="W56" s="232"/>
      <c r="X56" s="232"/>
      <c r="Y56" s="232"/>
      <c r="Z56" s="222"/>
      <c r="AA56" s="222"/>
      <c r="AB56" s="222"/>
      <c r="AC56" s="222"/>
      <c r="AD56" s="222"/>
      <c r="AE56" s="222"/>
      <c r="AF56" s="222"/>
      <c r="AG56" s="222"/>
      <c r="AH56" s="222"/>
      <c r="AI56" s="77">
        <f t="shared" si="2"/>
        <v>684822787.6500001</v>
      </c>
    </row>
    <row r="57" spans="1:35">
      <c r="A57" s="193" t="s">
        <v>809</v>
      </c>
      <c r="B57" s="68">
        <v>0</v>
      </c>
      <c r="C57" s="68">
        <v>0</v>
      </c>
      <c r="E57" s="187"/>
      <c r="F57" s="187"/>
      <c r="G57" s="199"/>
      <c r="H57" s="199"/>
      <c r="L57" s="199"/>
      <c r="M57" s="199"/>
      <c r="N57" s="199"/>
      <c r="P57" s="231" t="s">
        <v>561</v>
      </c>
      <c r="Q57" s="222">
        <v>-10403821.460000001</v>
      </c>
      <c r="R57" s="222">
        <v>-46425</v>
      </c>
      <c r="S57" s="222">
        <v>0</v>
      </c>
      <c r="T57" s="222">
        <v>8520</v>
      </c>
      <c r="U57" s="222"/>
      <c r="V57" s="232">
        <v>6030658</v>
      </c>
      <c r="W57" s="232"/>
      <c r="X57" s="232">
        <v>4253506</v>
      </c>
      <c r="Y57" s="232"/>
      <c r="Z57" s="222"/>
      <c r="AA57" s="222"/>
      <c r="AB57" s="222"/>
      <c r="AC57" s="222"/>
      <c r="AD57" s="222"/>
      <c r="AE57" s="222"/>
      <c r="AF57" s="222"/>
      <c r="AG57" s="222"/>
      <c r="AH57" s="222"/>
      <c r="AI57" s="77">
        <f t="shared" si="2"/>
        <v>-157562.46000000089</v>
      </c>
    </row>
    <row r="58" spans="1:35">
      <c r="A58" s="193" t="s">
        <v>810</v>
      </c>
      <c r="B58" s="68">
        <v>0</v>
      </c>
      <c r="C58" s="68">
        <v>0</v>
      </c>
      <c r="E58" s="187"/>
      <c r="F58" s="187"/>
      <c r="G58" s="199"/>
      <c r="H58" s="199"/>
      <c r="L58" s="199"/>
      <c r="M58" s="199"/>
      <c r="N58" s="199"/>
      <c r="P58" s="231" t="s">
        <v>560</v>
      </c>
      <c r="Q58" s="222">
        <v>4363252.24</v>
      </c>
      <c r="R58" s="222">
        <v>-47520</v>
      </c>
      <c r="S58" s="222">
        <f>-300200-10000+28012</f>
        <v>-282188</v>
      </c>
      <c r="T58" s="222">
        <v>0</v>
      </c>
      <c r="U58" s="222"/>
      <c r="V58" s="232">
        <v>189087</v>
      </c>
      <c r="W58" s="232"/>
      <c r="X58" s="232"/>
      <c r="Y58" s="232"/>
      <c r="Z58" s="222"/>
      <c r="AA58" s="222"/>
      <c r="AB58" s="222"/>
      <c r="AC58" s="222"/>
      <c r="AD58" s="222"/>
      <c r="AE58" s="222"/>
      <c r="AF58" s="222"/>
      <c r="AG58" s="222"/>
      <c r="AH58" s="222"/>
      <c r="AI58" s="77">
        <f t="shared" si="2"/>
        <v>4222631.24</v>
      </c>
    </row>
    <row r="59" spans="1:35">
      <c r="A59" s="187" t="s">
        <v>633</v>
      </c>
      <c r="B59" s="35">
        <v>0</v>
      </c>
      <c r="C59" s="68">
        <v>4670755.24</v>
      </c>
      <c r="E59" s="187"/>
      <c r="F59" s="187"/>
      <c r="G59" s="199"/>
      <c r="H59" s="199"/>
      <c r="L59" s="199"/>
      <c r="M59" s="199"/>
      <c r="N59" s="199"/>
      <c r="P59" s="233"/>
      <c r="Q59" s="222"/>
      <c r="R59" s="222"/>
      <c r="S59" s="222"/>
      <c r="T59" s="222"/>
      <c r="U59" s="222"/>
      <c r="V59" s="232"/>
      <c r="W59" s="232"/>
      <c r="X59" s="232"/>
      <c r="Y59" s="232"/>
      <c r="Z59" s="222"/>
      <c r="AA59" s="222"/>
      <c r="AB59" s="222"/>
      <c r="AC59" s="222"/>
      <c r="AD59" s="222"/>
      <c r="AE59" s="222"/>
      <c r="AF59" s="222"/>
      <c r="AG59" s="222"/>
      <c r="AH59" s="222"/>
      <c r="AI59" s="77">
        <f t="shared" si="2"/>
        <v>0</v>
      </c>
    </row>
    <row r="60" spans="1:35">
      <c r="A60" s="187" t="s">
        <v>635</v>
      </c>
      <c r="B60" s="35">
        <v>0</v>
      </c>
      <c r="C60" s="68">
        <v>2071110.54</v>
      </c>
      <c r="E60" s="187"/>
      <c r="F60" s="187"/>
      <c r="G60" s="187"/>
      <c r="H60" s="187"/>
      <c r="L60" s="187"/>
      <c r="M60" s="187"/>
      <c r="N60" s="187"/>
      <c r="P60" s="231" t="s">
        <v>535</v>
      </c>
      <c r="Q60" s="222">
        <v>27552839</v>
      </c>
      <c r="R60" s="222"/>
      <c r="S60" s="222"/>
      <c r="T60" s="222"/>
      <c r="U60" s="222">
        <v>0</v>
      </c>
      <c r="V60" s="232">
        <v>-4554088</v>
      </c>
      <c r="W60" s="232">
        <v>-2397589</v>
      </c>
      <c r="X60" s="232"/>
      <c r="Y60" s="232"/>
      <c r="Z60" s="222"/>
      <c r="AA60" s="222"/>
      <c r="AB60" s="222"/>
      <c r="AC60" s="222"/>
      <c r="AD60" s="222"/>
      <c r="AE60" s="222"/>
      <c r="AF60" s="222"/>
      <c r="AG60" s="222"/>
      <c r="AH60" s="222">
        <v>210130</v>
      </c>
      <c r="AI60" s="222">
        <f>SUM(Q60:AH60)</f>
        <v>20811292</v>
      </c>
    </row>
    <row r="61" spans="1:35">
      <c r="A61" s="187" t="s">
        <v>637</v>
      </c>
      <c r="B61" s="105">
        <f>T82</f>
        <v>311586</v>
      </c>
      <c r="C61" s="68">
        <v>1120041</v>
      </c>
      <c r="E61" s="187"/>
      <c r="F61" s="187"/>
      <c r="G61" s="187"/>
      <c r="H61" s="187"/>
      <c r="L61" s="199"/>
      <c r="M61" s="199"/>
      <c r="N61" s="199"/>
      <c r="P61" s="231" t="s">
        <v>634</v>
      </c>
      <c r="Q61" s="77">
        <v>55285012.890000001</v>
      </c>
      <c r="R61" s="222">
        <v>-300</v>
      </c>
      <c r="S61" s="222"/>
      <c r="T61" s="222">
        <v>96219</v>
      </c>
      <c r="U61" s="222">
        <v>181132.38</v>
      </c>
      <c r="V61" s="232">
        <v>-6242231.6200000001</v>
      </c>
      <c r="W61" s="232">
        <v>-9193926</v>
      </c>
      <c r="X61" s="232"/>
      <c r="Y61" s="232"/>
      <c r="Z61" s="222"/>
      <c r="AA61" s="222"/>
      <c r="AB61" s="222"/>
      <c r="AC61" s="222"/>
      <c r="AD61" s="222"/>
      <c r="AE61" s="222"/>
      <c r="AF61" s="222"/>
      <c r="AG61" s="222"/>
      <c r="AH61" s="222"/>
      <c r="AI61" s="77">
        <f>SUM(Q61:AG61)</f>
        <v>40125906.650000006</v>
      </c>
    </row>
    <row r="62" spans="1:35">
      <c r="A62" s="187" t="s">
        <v>285</v>
      </c>
      <c r="B62" s="105">
        <f>R82</f>
        <v>-189887</v>
      </c>
      <c r="C62" s="68">
        <v>-1025043</v>
      </c>
      <c r="E62" s="187"/>
      <c r="F62" s="187"/>
      <c r="G62" s="187"/>
      <c r="H62" s="187"/>
      <c r="L62" s="199"/>
      <c r="M62" s="199"/>
      <c r="N62" s="199"/>
      <c r="P62" s="231" t="s">
        <v>20</v>
      </c>
      <c r="Q62" s="77">
        <v>13300512.529999999</v>
      </c>
      <c r="R62" s="222"/>
      <c r="S62" s="222"/>
      <c r="T62" s="222"/>
      <c r="U62" s="222"/>
      <c r="V62" s="232">
        <v>-6451306</v>
      </c>
      <c r="W62" s="232"/>
      <c r="X62" s="232"/>
      <c r="Y62" s="232"/>
      <c r="Z62" s="222"/>
      <c r="AA62" s="222"/>
      <c r="AB62" s="222"/>
      <c r="AC62" s="222"/>
      <c r="AD62" s="222"/>
      <c r="AE62" s="222"/>
      <c r="AF62" s="222">
        <v>24807</v>
      </c>
      <c r="AG62" s="222">
        <v>0.95</v>
      </c>
      <c r="AH62" s="222"/>
      <c r="AI62" s="77">
        <f>SUM(Q62:AG62)</f>
        <v>6874014.4799999995</v>
      </c>
    </row>
    <row r="63" spans="1:35">
      <c r="A63" s="187" t="s">
        <v>773</v>
      </c>
      <c r="B63" s="105">
        <f>AD82</f>
        <v>-1586817.1</v>
      </c>
      <c r="C63" s="68">
        <v>0</v>
      </c>
      <c r="E63" s="187"/>
      <c r="F63" s="187"/>
      <c r="G63" s="187"/>
      <c r="H63" s="187"/>
      <c r="L63" s="199"/>
      <c r="M63" s="199"/>
      <c r="N63" s="199"/>
      <c r="P63" s="231" t="s">
        <v>21</v>
      </c>
      <c r="Q63" s="77">
        <v>-21458533.399999999</v>
      </c>
      <c r="R63" s="222">
        <v>0</v>
      </c>
      <c r="S63" s="222">
        <v>0</v>
      </c>
      <c r="T63" s="222">
        <v>24000</v>
      </c>
      <c r="U63" s="222"/>
      <c r="V63" s="232">
        <v>5690576</v>
      </c>
      <c r="W63" s="232">
        <v>-1180577</v>
      </c>
      <c r="X63" s="232"/>
      <c r="Y63" s="232"/>
      <c r="Z63" s="222"/>
      <c r="AA63" s="222"/>
      <c r="AB63" s="222"/>
      <c r="AC63" s="222"/>
      <c r="AD63" s="222"/>
      <c r="AE63" s="222"/>
      <c r="AF63" s="222"/>
      <c r="AG63" s="222"/>
      <c r="AH63" s="222"/>
      <c r="AI63" s="77">
        <f t="shared" ref="AI63:AI74" si="3">SUM(Q63:AG63)</f>
        <v>-16924534.399999999</v>
      </c>
    </row>
    <row r="64" spans="1:35">
      <c r="A64" s="187" t="s">
        <v>690</v>
      </c>
      <c r="B64" s="105">
        <f>AE82</f>
        <v>-6349482</v>
      </c>
      <c r="C64" s="68">
        <v>0</v>
      </c>
      <c r="E64" s="187"/>
      <c r="F64" s="187"/>
      <c r="G64" s="187"/>
      <c r="H64" s="187"/>
      <c r="L64" s="199"/>
      <c r="M64" s="199"/>
      <c r="N64" s="199"/>
      <c r="P64" s="231" t="s">
        <v>636</v>
      </c>
      <c r="Q64" s="77">
        <v>17825535.119999997</v>
      </c>
      <c r="R64" s="222">
        <v>0</v>
      </c>
      <c r="S64" s="222"/>
      <c r="T64" s="222">
        <v>14172</v>
      </c>
      <c r="U64" s="222">
        <v>400000</v>
      </c>
      <c r="V64" s="232">
        <v>-6288053</v>
      </c>
      <c r="W64" s="232"/>
      <c r="X64" s="232">
        <v>1203343</v>
      </c>
      <c r="Y64" s="232">
        <v>-386535</v>
      </c>
      <c r="Z64" s="222">
        <v>-2138.73</v>
      </c>
      <c r="AA64" s="222">
        <v>61710.5</v>
      </c>
      <c r="AB64" s="222">
        <v>-1800</v>
      </c>
      <c r="AC64" s="222"/>
      <c r="AD64" s="222">
        <v>-1586817.1</v>
      </c>
      <c r="AE64" s="222">
        <v>-6349482</v>
      </c>
      <c r="AF64" s="222"/>
      <c r="AG64" s="222"/>
      <c r="AH64" s="222"/>
      <c r="AI64" s="77">
        <f t="shared" si="3"/>
        <v>4889934.7899999972</v>
      </c>
    </row>
    <row r="65" spans="1:35">
      <c r="A65" s="187" t="s">
        <v>676</v>
      </c>
      <c r="B65" s="105">
        <v>-282188</v>
      </c>
      <c r="C65" s="68">
        <v>0</v>
      </c>
      <c r="E65" s="187"/>
      <c r="F65" s="187"/>
      <c r="G65" s="187"/>
      <c r="H65" s="187"/>
      <c r="L65" s="199"/>
      <c r="M65" s="199"/>
      <c r="N65" s="199"/>
      <c r="P65" s="231" t="s">
        <v>638</v>
      </c>
      <c r="Q65" s="77">
        <v>-2193185.7699999996</v>
      </c>
      <c r="R65" s="222">
        <v>-8772</v>
      </c>
      <c r="S65" s="222"/>
      <c r="T65" s="222">
        <v>0</v>
      </c>
      <c r="U65" s="222">
        <v>0</v>
      </c>
      <c r="V65" s="232">
        <v>-5417927.6100000003</v>
      </c>
      <c r="W65" s="232">
        <v>-3621321</v>
      </c>
      <c r="X65" s="232">
        <v>512</v>
      </c>
      <c r="Y65" s="222">
        <v>-298688</v>
      </c>
      <c r="AA65" s="222"/>
      <c r="AB65" s="224">
        <v>-4900</v>
      </c>
      <c r="AC65" s="222"/>
      <c r="AD65" s="222"/>
      <c r="AE65" s="222"/>
      <c r="AF65" s="222"/>
      <c r="AG65" s="222"/>
      <c r="AH65" s="222"/>
      <c r="AI65" s="77">
        <f t="shared" si="3"/>
        <v>-11544282.379999999</v>
      </c>
    </row>
    <row r="66" spans="1:35">
      <c r="A66" s="187" t="s">
        <v>688</v>
      </c>
      <c r="B66" s="105">
        <f>AC82</f>
        <v>300200</v>
      </c>
      <c r="C66" s="68">
        <v>0</v>
      </c>
      <c r="E66" s="187"/>
      <c r="F66" s="187"/>
      <c r="G66" s="187"/>
      <c r="H66" s="187"/>
      <c r="L66" s="199"/>
      <c r="M66" s="199"/>
      <c r="N66" s="199"/>
      <c r="P66" s="231" t="s">
        <v>22</v>
      </c>
      <c r="Q66" s="77">
        <v>30332011.449999999</v>
      </c>
      <c r="R66" s="222">
        <v>-8520</v>
      </c>
      <c r="S66" s="222"/>
      <c r="T66" s="222">
        <v>98675</v>
      </c>
      <c r="U66" s="222">
        <v>0</v>
      </c>
      <c r="V66" s="232">
        <v>-24522994.98</v>
      </c>
      <c r="W66" s="232">
        <v>-9243288</v>
      </c>
      <c r="X66" s="232">
        <v>1491911</v>
      </c>
      <c r="Y66" s="232"/>
      <c r="Z66" s="222">
        <v>0</v>
      </c>
      <c r="AA66" s="222">
        <v>0</v>
      </c>
      <c r="AB66" s="222"/>
      <c r="AC66" s="222"/>
      <c r="AD66" s="222"/>
      <c r="AE66" s="222"/>
      <c r="AF66" s="222"/>
      <c r="AG66" s="222"/>
      <c r="AH66" s="222"/>
      <c r="AI66" s="77">
        <f t="shared" si="3"/>
        <v>-1852205.5300000012</v>
      </c>
    </row>
    <row r="67" spans="1:35">
      <c r="A67" s="187" t="s">
        <v>689</v>
      </c>
      <c r="B67" s="105">
        <f>AB53</f>
        <v>10000</v>
      </c>
      <c r="C67" s="68">
        <v>0</v>
      </c>
      <c r="E67" s="187"/>
      <c r="F67" s="187"/>
      <c r="G67" s="187"/>
      <c r="H67" s="187"/>
      <c r="L67" s="199"/>
      <c r="M67" s="199"/>
      <c r="N67" s="199"/>
      <c r="P67" s="231" t="s">
        <v>23</v>
      </c>
      <c r="Q67" s="77">
        <v>30325773.460000001</v>
      </c>
      <c r="R67" s="222">
        <v>0</v>
      </c>
      <c r="S67" s="222"/>
      <c r="T67" s="222">
        <v>70000</v>
      </c>
      <c r="U67" s="222"/>
      <c r="V67" s="232">
        <v>-6060385</v>
      </c>
      <c r="W67" s="232">
        <v>-32897</v>
      </c>
      <c r="X67" s="232"/>
      <c r="Y67" s="232"/>
      <c r="Z67" s="222"/>
      <c r="AA67" s="222"/>
      <c r="AB67" s="222"/>
      <c r="AC67" s="222"/>
      <c r="AD67" s="222"/>
      <c r="AE67" s="222"/>
      <c r="AF67" s="222"/>
      <c r="AG67" s="222"/>
      <c r="AH67" s="222"/>
      <c r="AI67" s="77">
        <f t="shared" si="3"/>
        <v>24302491.460000001</v>
      </c>
    </row>
    <row r="68" spans="1:35">
      <c r="A68" s="187" t="s">
        <v>674</v>
      </c>
      <c r="B68" s="105">
        <f>Z82</f>
        <v>-2138.73</v>
      </c>
      <c r="C68" s="68">
        <v>0</v>
      </c>
      <c r="E68" s="187"/>
      <c r="F68" s="187"/>
      <c r="G68" s="187"/>
      <c r="H68" s="187"/>
      <c r="L68" s="187"/>
      <c r="M68" s="187"/>
      <c r="N68" s="187"/>
      <c r="P68" s="233" t="s">
        <v>286</v>
      </c>
      <c r="Q68" s="222">
        <v>261171.65</v>
      </c>
      <c r="V68" s="232">
        <v>38503</v>
      </c>
      <c r="W68" s="232"/>
      <c r="X68" s="232"/>
      <c r="Y68" s="232"/>
      <c r="AI68" s="77">
        <f t="shared" si="3"/>
        <v>299674.65000000002</v>
      </c>
    </row>
    <row r="69" spans="1:35">
      <c r="A69" s="187" t="s">
        <v>673</v>
      </c>
      <c r="B69" s="105">
        <v>-4900</v>
      </c>
      <c r="C69" s="68">
        <v>0</v>
      </c>
      <c r="E69" s="187"/>
      <c r="F69" s="187"/>
      <c r="G69" s="187"/>
      <c r="H69" s="187"/>
      <c r="L69" s="187"/>
      <c r="M69" s="187"/>
      <c r="N69" s="187"/>
      <c r="P69" s="233"/>
      <c r="Q69" s="222"/>
      <c r="V69" s="232"/>
      <c r="W69" s="232"/>
      <c r="X69" s="232"/>
      <c r="Y69" s="232"/>
    </row>
    <row r="70" spans="1:35">
      <c r="A70" s="187" t="s">
        <v>691</v>
      </c>
      <c r="B70" s="68">
        <f>AF82</f>
        <v>24807</v>
      </c>
      <c r="C70" s="68">
        <v>0</v>
      </c>
      <c r="E70" s="187"/>
      <c r="F70" s="187"/>
      <c r="G70" s="187"/>
      <c r="H70" s="187"/>
      <c r="L70" s="187"/>
      <c r="M70" s="187"/>
      <c r="N70" s="187"/>
      <c r="P70" s="233"/>
      <c r="Q70" s="222"/>
      <c r="V70" s="232"/>
      <c r="W70" s="232"/>
      <c r="X70" s="232"/>
      <c r="Y70" s="232"/>
    </row>
    <row r="71" spans="1:35">
      <c r="A71" s="187" t="s">
        <v>692</v>
      </c>
      <c r="B71" s="68">
        <f>AG82</f>
        <v>0.95</v>
      </c>
      <c r="C71" s="68">
        <v>0</v>
      </c>
      <c r="E71" s="187"/>
      <c r="F71" s="187"/>
      <c r="G71" s="187"/>
      <c r="H71" s="187"/>
      <c r="L71" s="187"/>
      <c r="M71" s="187"/>
      <c r="N71" s="187"/>
      <c r="P71" s="233"/>
      <c r="Q71" s="222"/>
      <c r="V71" s="232"/>
      <c r="W71" s="232"/>
      <c r="X71" s="232"/>
      <c r="Y71" s="232"/>
    </row>
    <row r="72" spans="1:35">
      <c r="A72" s="187" t="s">
        <v>693</v>
      </c>
      <c r="B72" s="68">
        <f>AH82</f>
        <v>210130</v>
      </c>
      <c r="C72" s="68">
        <v>0</v>
      </c>
      <c r="E72" s="187"/>
      <c r="F72" s="187"/>
      <c r="G72" s="187"/>
      <c r="H72" s="187"/>
      <c r="L72" s="187"/>
      <c r="M72" s="187"/>
      <c r="N72" s="187"/>
      <c r="P72" s="233"/>
      <c r="Q72" s="222"/>
      <c r="V72" s="232"/>
      <c r="W72" s="232"/>
      <c r="X72" s="232"/>
      <c r="Y72" s="232"/>
    </row>
    <row r="73" spans="1:35">
      <c r="A73" s="187" t="s">
        <v>684</v>
      </c>
      <c r="B73" s="105">
        <f>W82</f>
        <v>-30163126</v>
      </c>
      <c r="C73" s="68">
        <v>-817000</v>
      </c>
      <c r="E73" s="187"/>
      <c r="F73" s="187"/>
      <c r="G73" s="187"/>
      <c r="H73" s="187"/>
      <c r="L73" s="187"/>
      <c r="M73" s="187"/>
      <c r="N73" s="187"/>
      <c r="P73" s="231" t="s">
        <v>287</v>
      </c>
      <c r="Q73" s="222">
        <v>326032</v>
      </c>
      <c r="V73" s="232">
        <v>149447</v>
      </c>
      <c r="W73" s="232"/>
      <c r="X73" s="232"/>
      <c r="Y73" s="232"/>
      <c r="AI73" s="77">
        <f t="shared" si="3"/>
        <v>475479</v>
      </c>
    </row>
    <row r="74" spans="1:35">
      <c r="A74" s="187" t="s">
        <v>685</v>
      </c>
      <c r="B74" s="105">
        <f>X82</f>
        <v>10967321</v>
      </c>
      <c r="C74" s="68">
        <v>0</v>
      </c>
      <c r="E74" s="187"/>
      <c r="F74" s="187"/>
      <c r="G74" s="187"/>
      <c r="H74" s="187"/>
      <c r="L74" s="187"/>
      <c r="M74" s="187"/>
      <c r="N74" s="187"/>
      <c r="Q74" s="222"/>
      <c r="V74" s="232"/>
      <c r="W74" s="232"/>
      <c r="X74" s="232"/>
      <c r="Y74" s="232"/>
      <c r="AI74" s="77">
        <f t="shared" si="3"/>
        <v>0</v>
      </c>
    </row>
    <row r="75" spans="1:35">
      <c r="A75" s="187" t="s">
        <v>686</v>
      </c>
      <c r="B75" s="105">
        <f>Y82</f>
        <v>-685223</v>
      </c>
      <c r="C75" s="68">
        <v>0</v>
      </c>
      <c r="E75" s="187"/>
      <c r="F75" s="187"/>
      <c r="G75" s="187"/>
      <c r="H75" s="187"/>
      <c r="L75" s="187"/>
      <c r="M75" s="187"/>
      <c r="N75" s="187"/>
      <c r="Q75" s="222"/>
      <c r="V75" s="232"/>
      <c r="W75" s="232"/>
      <c r="X75" s="232"/>
      <c r="Y75" s="232"/>
    </row>
    <row r="76" spans="1:35">
      <c r="A76" s="187" t="s">
        <v>677</v>
      </c>
      <c r="B76" s="105">
        <f>U82</f>
        <v>581132.38</v>
      </c>
      <c r="C76" s="68">
        <v>0</v>
      </c>
      <c r="E76" s="187"/>
      <c r="F76" s="187"/>
      <c r="G76" s="187"/>
      <c r="H76" s="187"/>
      <c r="L76" s="187"/>
      <c r="M76" s="187"/>
      <c r="N76" s="187"/>
      <c r="Q76" s="222"/>
      <c r="V76" s="232"/>
      <c r="W76" s="232"/>
      <c r="X76" s="232"/>
      <c r="Y76" s="232"/>
    </row>
    <row r="77" spans="1:35">
      <c r="A77" s="187" t="s">
        <v>772</v>
      </c>
      <c r="B77" s="105">
        <f>AA82</f>
        <v>61710.5</v>
      </c>
      <c r="C77" s="68">
        <v>0</v>
      </c>
      <c r="E77" s="187"/>
      <c r="F77" s="187"/>
      <c r="G77" s="187"/>
      <c r="H77" s="187"/>
      <c r="L77" s="187"/>
      <c r="M77" s="187"/>
      <c r="N77" s="187"/>
      <c r="Q77" s="222"/>
      <c r="V77" s="232"/>
      <c r="W77" s="232"/>
      <c r="X77" s="232"/>
      <c r="Y77" s="232"/>
    </row>
    <row r="78" spans="1:35">
      <c r="A78" s="187" t="s">
        <v>687</v>
      </c>
      <c r="B78" s="105">
        <f>AB64</f>
        <v>-1800</v>
      </c>
      <c r="C78" s="68">
        <v>0</v>
      </c>
      <c r="E78" s="187"/>
      <c r="F78" s="187"/>
      <c r="G78" s="187"/>
      <c r="H78" s="187"/>
      <c r="L78" s="187"/>
      <c r="M78" s="187"/>
      <c r="N78" s="187"/>
      <c r="Q78" s="222"/>
      <c r="V78" s="232"/>
      <c r="W78" s="232"/>
      <c r="X78" s="232"/>
      <c r="Y78" s="232"/>
    </row>
    <row r="79" spans="1:35">
      <c r="A79" s="187" t="s">
        <v>675</v>
      </c>
      <c r="B79" s="105">
        <v>-28012</v>
      </c>
      <c r="C79" s="68">
        <v>0</v>
      </c>
      <c r="E79" s="187"/>
      <c r="F79" s="187"/>
      <c r="G79" s="187"/>
      <c r="H79" s="187"/>
      <c r="L79" s="187"/>
      <c r="M79" s="187"/>
      <c r="N79" s="187"/>
      <c r="Q79" s="222"/>
      <c r="V79" s="232"/>
      <c r="W79" s="232"/>
      <c r="X79" s="232"/>
      <c r="Y79" s="232"/>
    </row>
    <row r="80" spans="1:35">
      <c r="A80" s="187" t="s">
        <v>363</v>
      </c>
      <c r="B80" s="68">
        <v>0</v>
      </c>
      <c r="C80" s="68">
        <v>6900</v>
      </c>
      <c r="E80" s="187"/>
      <c r="F80" s="187"/>
      <c r="G80" s="187"/>
      <c r="H80" s="187"/>
      <c r="L80" s="187"/>
      <c r="M80" s="187"/>
      <c r="N80" s="187"/>
      <c r="Q80" s="222"/>
      <c r="V80" s="232"/>
      <c r="W80" s="232"/>
      <c r="X80" s="232"/>
      <c r="Y80" s="232"/>
    </row>
    <row r="81" spans="1:35">
      <c r="A81" s="187" t="s">
        <v>364</v>
      </c>
      <c r="B81" s="68">
        <v>0</v>
      </c>
      <c r="C81" s="202">
        <v>-3458200</v>
      </c>
      <c r="E81" s="187"/>
      <c r="F81" s="187"/>
      <c r="G81" s="187"/>
      <c r="H81" s="187"/>
      <c r="L81" s="187"/>
      <c r="M81" s="187"/>
      <c r="N81" s="187"/>
      <c r="R81" s="222"/>
      <c r="S81" s="222"/>
      <c r="T81" s="222"/>
      <c r="U81" s="222"/>
      <c r="V81" s="222"/>
      <c r="W81" s="222"/>
      <c r="X81" s="222"/>
      <c r="Y81" s="222"/>
      <c r="AI81" s="77">
        <f>SUM(Q81:AA81)</f>
        <v>0</v>
      </c>
    </row>
    <row r="82" spans="1:35">
      <c r="A82" s="187" t="s">
        <v>365</v>
      </c>
      <c r="B82" s="35">
        <v>0</v>
      </c>
      <c r="C82" s="202">
        <v>1039254.04</v>
      </c>
      <c r="E82" s="187"/>
      <c r="F82" s="187"/>
      <c r="G82" s="187"/>
      <c r="H82" s="187"/>
      <c r="L82" s="199"/>
      <c r="M82" s="199"/>
      <c r="N82" s="199"/>
      <c r="P82" s="77" t="s">
        <v>439</v>
      </c>
      <c r="Q82" s="224">
        <f t="shared" ref="Q82:AH82" si="4">SUM(Q53:Q81)</f>
        <v>1174808917.49</v>
      </c>
      <c r="R82" s="224">
        <f t="shared" si="4"/>
        <v>-189887</v>
      </c>
      <c r="S82" s="224">
        <f t="shared" si="4"/>
        <v>-310200</v>
      </c>
      <c r="T82" s="224">
        <f t="shared" si="4"/>
        <v>311586</v>
      </c>
      <c r="U82" s="224">
        <f t="shared" si="4"/>
        <v>581132.38</v>
      </c>
      <c r="V82" s="224">
        <v>1749613998.9400001</v>
      </c>
      <c r="W82" s="224">
        <f t="shared" si="4"/>
        <v>-30163126</v>
      </c>
      <c r="X82" s="224">
        <f t="shared" si="4"/>
        <v>10967321</v>
      </c>
      <c r="Y82" s="224">
        <f t="shared" si="4"/>
        <v>-685223</v>
      </c>
      <c r="Z82" s="224">
        <f t="shared" si="4"/>
        <v>-2138.73</v>
      </c>
      <c r="AA82" s="224">
        <f t="shared" si="4"/>
        <v>61710.5</v>
      </c>
      <c r="AB82" s="224">
        <f t="shared" si="4"/>
        <v>3300</v>
      </c>
      <c r="AC82" s="224">
        <f t="shared" si="4"/>
        <v>300200</v>
      </c>
      <c r="AD82" s="224">
        <f t="shared" si="4"/>
        <v>-1586817.1</v>
      </c>
      <c r="AE82" s="224">
        <f t="shared" si="4"/>
        <v>-6349482</v>
      </c>
      <c r="AF82" s="222">
        <f t="shared" si="4"/>
        <v>24807</v>
      </c>
      <c r="AG82" s="222">
        <f t="shared" si="4"/>
        <v>0.95</v>
      </c>
      <c r="AH82" s="222">
        <f t="shared" si="4"/>
        <v>210130</v>
      </c>
      <c r="AI82" s="222">
        <f>SUM(Q82:AH82)</f>
        <v>2897596230.4300003</v>
      </c>
    </row>
    <row r="83" spans="1:35">
      <c r="A83" s="187" t="s">
        <v>366</v>
      </c>
      <c r="B83" s="35">
        <v>0</v>
      </c>
      <c r="C83" s="202">
        <v>-2071110.54</v>
      </c>
      <c r="E83" s="187"/>
      <c r="F83" s="187"/>
      <c r="G83" s="187"/>
      <c r="H83" s="187"/>
      <c r="L83" s="199"/>
      <c r="M83" s="199"/>
      <c r="N83" s="199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2"/>
      <c r="AG83" s="222"/>
      <c r="AH83" s="222"/>
      <c r="AI83" s="222"/>
    </row>
    <row r="84" spans="1:35">
      <c r="A84" s="187" t="s">
        <v>367</v>
      </c>
      <c r="B84" s="35">
        <v>0</v>
      </c>
      <c r="C84" s="202">
        <v>-4670755.24</v>
      </c>
      <c r="E84" s="187"/>
      <c r="F84" s="187"/>
      <c r="G84" s="187"/>
      <c r="H84" s="187"/>
      <c r="L84" s="199"/>
      <c r="M84" s="199"/>
      <c r="N84" s="199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2"/>
      <c r="AG84" s="222"/>
      <c r="AH84" s="222"/>
      <c r="AI84" s="222">
        <v>-16828000</v>
      </c>
    </row>
    <row r="85" spans="1:35">
      <c r="A85" s="187" t="s">
        <v>368</v>
      </c>
      <c r="B85" s="35">
        <v>0</v>
      </c>
      <c r="C85" s="202">
        <v>-1039254.04</v>
      </c>
      <c r="E85" s="187"/>
      <c r="F85" s="187"/>
      <c r="G85" s="187"/>
      <c r="H85" s="187"/>
      <c r="L85" s="199"/>
      <c r="M85" s="199"/>
      <c r="N85" s="199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2"/>
      <c r="AG85" s="222"/>
      <c r="AH85" s="222"/>
      <c r="AI85" s="222"/>
    </row>
    <row r="86" spans="1:35">
      <c r="A86" s="187" t="s">
        <v>778</v>
      </c>
      <c r="B86" s="235">
        <v>0</v>
      </c>
      <c r="C86" s="236">
        <v>-200000</v>
      </c>
      <c r="E86" s="187"/>
      <c r="F86" s="187"/>
      <c r="G86" s="187"/>
      <c r="H86" s="187"/>
      <c r="L86" s="199"/>
      <c r="M86" s="199"/>
      <c r="N86" s="199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2"/>
      <c r="AG86" s="222"/>
      <c r="AH86" s="222"/>
      <c r="AI86" s="234">
        <f>+AI82+AI84</f>
        <v>2880768230.4300003</v>
      </c>
    </row>
    <row r="87" spans="1:35">
      <c r="A87" s="187" t="s">
        <v>781</v>
      </c>
      <c r="B87" s="235">
        <v>-16828000</v>
      </c>
      <c r="C87" s="236">
        <v>0</v>
      </c>
      <c r="E87" s="187"/>
      <c r="F87" s="187"/>
      <c r="G87" s="187"/>
      <c r="H87" s="187"/>
      <c r="L87" s="199"/>
      <c r="M87" s="199"/>
      <c r="N87" s="199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2"/>
      <c r="AG87" s="222"/>
      <c r="AH87" s="222"/>
      <c r="AI87" s="222"/>
    </row>
    <row r="88" spans="1:35">
      <c r="A88" s="187" t="s">
        <v>305</v>
      </c>
      <c r="B88" s="235">
        <v>0</v>
      </c>
      <c r="C88" s="236">
        <v>0</v>
      </c>
      <c r="E88" s="187"/>
      <c r="F88" s="187"/>
      <c r="G88" s="187"/>
      <c r="H88" s="187"/>
      <c r="L88" s="187"/>
      <c r="M88" s="187"/>
      <c r="N88" s="187"/>
      <c r="AD88" s="231"/>
      <c r="AE88" s="231"/>
      <c r="AI88" s="222">
        <f>AI82-1197198462.5</f>
        <v>1700397767.9300003</v>
      </c>
    </row>
    <row r="89" spans="1:35">
      <c r="A89" s="187" t="s">
        <v>782</v>
      </c>
      <c r="B89" s="235">
        <f>-612350221.83-676816098</f>
        <v>-1289166319.8299999</v>
      </c>
      <c r="C89" s="236">
        <v>0</v>
      </c>
      <c r="E89" s="187"/>
      <c r="F89" s="187"/>
      <c r="G89" s="187"/>
      <c r="H89" s="187"/>
      <c r="L89" s="187"/>
      <c r="M89" s="187"/>
      <c r="N89" s="187"/>
      <c r="AI89" s="222">
        <v>0</v>
      </c>
    </row>
    <row r="90" spans="1:35">
      <c r="A90" s="187" t="s">
        <v>812</v>
      </c>
      <c r="B90" s="235">
        <v>4125669052.6700001</v>
      </c>
      <c r="C90" s="236">
        <v>0</v>
      </c>
      <c r="E90" s="187"/>
      <c r="F90" s="187"/>
      <c r="G90" s="187"/>
      <c r="H90" s="187"/>
      <c r="L90" s="187"/>
      <c r="M90" s="187"/>
      <c r="N90" s="187"/>
    </row>
    <row r="91" spans="1:35" ht="18" customHeight="1">
      <c r="A91" s="187" t="s">
        <v>813</v>
      </c>
      <c r="B91" s="235">
        <v>168337236.59</v>
      </c>
      <c r="C91" s="236">
        <v>0</v>
      </c>
      <c r="E91" s="187"/>
      <c r="F91" s="187"/>
      <c r="G91" s="187"/>
      <c r="H91" s="187"/>
      <c r="L91" s="199"/>
      <c r="M91" s="199"/>
      <c r="N91" s="199"/>
    </row>
    <row r="92" spans="1:35" ht="18" customHeight="1">
      <c r="A92" s="318" t="s">
        <v>814</v>
      </c>
      <c r="B92" s="235">
        <v>9470967.5600000005</v>
      </c>
      <c r="C92" s="236">
        <v>0</v>
      </c>
      <c r="E92" s="187"/>
      <c r="F92" s="187"/>
      <c r="G92" s="187"/>
      <c r="H92" s="187"/>
      <c r="L92" s="199"/>
      <c r="M92" s="199"/>
      <c r="N92" s="199"/>
    </row>
    <row r="93" spans="1:35" ht="18" customHeight="1">
      <c r="A93" s="187" t="s">
        <v>815</v>
      </c>
      <c r="B93" s="235">
        <v>5369180</v>
      </c>
      <c r="C93" s="236">
        <v>0</v>
      </c>
      <c r="E93" s="187"/>
      <c r="F93" s="187"/>
      <c r="G93" s="187"/>
      <c r="H93" s="187"/>
      <c r="L93" s="199"/>
      <c r="M93" s="199"/>
      <c r="N93" s="199"/>
    </row>
    <row r="94" spans="1:35">
      <c r="A94" s="187" t="s">
        <v>816</v>
      </c>
      <c r="B94" s="235">
        <v>4950665</v>
      </c>
      <c r="C94" s="236">
        <v>0</v>
      </c>
      <c r="E94" s="187"/>
      <c r="F94" s="187"/>
      <c r="G94" s="187"/>
      <c r="H94" s="187"/>
      <c r="L94" s="199"/>
      <c r="M94" s="199"/>
      <c r="N94" s="199"/>
    </row>
    <row r="95" spans="1:35">
      <c r="A95" s="187" t="s">
        <v>150</v>
      </c>
      <c r="B95" s="235">
        <v>676816098</v>
      </c>
      <c r="C95" s="236">
        <v>0</v>
      </c>
      <c r="E95" s="187"/>
      <c r="F95" s="187"/>
      <c r="G95" s="187"/>
      <c r="H95" s="187"/>
      <c r="L95" s="199"/>
      <c r="M95" s="199"/>
      <c r="N95" s="199"/>
    </row>
    <row r="96" spans="1:35" ht="16.5" thickBot="1">
      <c r="A96" s="200" t="s">
        <v>151</v>
      </c>
      <c r="B96" s="223">
        <f>SUM(B53:B95)</f>
        <v>6125591319.5100012</v>
      </c>
      <c r="C96" s="223">
        <f>SUM(C53:C95)</f>
        <v>1174808917.49</v>
      </c>
      <c r="E96" s="187"/>
      <c r="F96" s="187"/>
      <c r="G96" s="187"/>
      <c r="H96" s="187"/>
      <c r="L96" s="187"/>
      <c r="M96" s="187"/>
      <c r="N96" s="187"/>
    </row>
    <row r="97" spans="1:14" ht="16.5" thickTop="1">
      <c r="E97" s="187"/>
      <c r="F97" s="187"/>
      <c r="G97" s="187"/>
      <c r="H97" s="187"/>
      <c r="L97" s="187"/>
      <c r="M97" s="187"/>
      <c r="N97" s="187"/>
    </row>
    <row r="98" spans="1:14">
      <c r="E98" s="187"/>
      <c r="F98" s="187"/>
      <c r="G98" s="187"/>
      <c r="H98" s="187"/>
      <c r="L98" s="187"/>
      <c r="M98" s="187"/>
      <c r="N98" s="187"/>
    </row>
    <row r="99" spans="1:14">
      <c r="E99" s="187"/>
      <c r="F99" s="187"/>
      <c r="G99" s="187"/>
      <c r="H99" s="187"/>
      <c r="L99" s="187"/>
      <c r="M99" s="187"/>
      <c r="N99" s="187"/>
    </row>
    <row r="100" spans="1:14">
      <c r="A100" s="215" t="s">
        <v>544</v>
      </c>
      <c r="B100" s="43"/>
      <c r="C100" s="9" t="s">
        <v>544</v>
      </c>
      <c r="E100" s="187"/>
      <c r="F100" s="187"/>
      <c r="G100" s="187"/>
      <c r="H100" s="187"/>
      <c r="L100" s="187"/>
      <c r="M100" s="187"/>
      <c r="N100" s="187"/>
    </row>
    <row r="101" spans="1:14">
      <c r="A101" s="9"/>
      <c r="E101" s="187"/>
      <c r="F101" s="187"/>
      <c r="G101" s="187"/>
      <c r="H101" s="187"/>
      <c r="L101" s="187"/>
      <c r="M101" s="187"/>
      <c r="N101" s="187"/>
    </row>
    <row r="102" spans="1:14">
      <c r="A102" s="9" t="s">
        <v>544</v>
      </c>
      <c r="B102" s="194" t="s">
        <v>544</v>
      </c>
      <c r="C102" s="194" t="s">
        <v>544</v>
      </c>
      <c r="E102" s="187"/>
      <c r="F102" s="187"/>
      <c r="G102" s="187"/>
      <c r="H102" s="187"/>
      <c r="L102" s="187"/>
      <c r="M102" s="187"/>
      <c r="N102" s="187"/>
    </row>
    <row r="103" spans="1:14">
      <c r="A103" s="9"/>
      <c r="B103" s="194" t="s">
        <v>544</v>
      </c>
      <c r="C103" s="194" t="s">
        <v>544</v>
      </c>
      <c r="E103" s="187"/>
      <c r="F103" s="187"/>
      <c r="G103" s="187"/>
      <c r="H103" s="187"/>
      <c r="L103" s="187"/>
      <c r="M103" s="187"/>
      <c r="N103" s="187"/>
    </row>
    <row r="104" spans="1:14">
      <c r="A104" s="9" t="s">
        <v>544</v>
      </c>
      <c r="B104" s="194"/>
      <c r="C104" s="194" t="s">
        <v>544</v>
      </c>
      <c r="E104" s="187"/>
      <c r="F104" s="187"/>
      <c r="G104" s="187"/>
      <c r="H104" s="187"/>
      <c r="L104" s="187"/>
      <c r="M104" s="187"/>
      <c r="N104" s="187"/>
    </row>
    <row r="105" spans="1:14">
      <c r="A105" s="187" t="s">
        <v>544</v>
      </c>
      <c r="B105" s="202" t="s">
        <v>544</v>
      </c>
      <c r="C105" s="202" t="s">
        <v>544</v>
      </c>
      <c r="E105" s="187"/>
      <c r="F105" s="187"/>
      <c r="G105" s="187"/>
      <c r="H105" s="187"/>
      <c r="L105" s="187"/>
      <c r="M105" s="187"/>
      <c r="N105" s="187"/>
    </row>
    <row r="106" spans="1:14">
      <c r="A106" s="187" t="s">
        <v>544</v>
      </c>
      <c r="B106" s="236" t="s">
        <v>544</v>
      </c>
      <c r="C106" s="236" t="s">
        <v>544</v>
      </c>
      <c r="E106" s="187"/>
      <c r="F106" s="187"/>
      <c r="G106" s="187"/>
      <c r="H106" s="187"/>
      <c r="L106" s="187"/>
      <c r="M106" s="187"/>
      <c r="N106" s="187"/>
    </row>
    <row r="107" spans="1:14" ht="16.5" thickBot="1">
      <c r="A107" s="200" t="s">
        <v>544</v>
      </c>
      <c r="B107" s="223" t="s">
        <v>544</v>
      </c>
      <c r="C107" s="204">
        <f>SUM(C105)</f>
        <v>0</v>
      </c>
      <c r="E107" s="187"/>
      <c r="F107" s="187"/>
      <c r="G107" s="187"/>
      <c r="H107" s="187"/>
      <c r="L107" s="187"/>
      <c r="M107" s="187"/>
      <c r="N107" s="187"/>
    </row>
    <row r="108" spans="1:14" ht="16.5" thickTop="1">
      <c r="E108" s="187"/>
      <c r="F108" s="187"/>
      <c r="G108" s="187"/>
      <c r="H108" s="187"/>
      <c r="L108" s="187"/>
      <c r="M108" s="187"/>
      <c r="N108" s="187"/>
    </row>
    <row r="109" spans="1:14">
      <c r="E109" s="187"/>
      <c r="F109" s="187"/>
      <c r="G109" s="187"/>
      <c r="H109" s="187"/>
      <c r="L109" s="187"/>
      <c r="M109" s="187"/>
      <c r="N109" s="187"/>
    </row>
    <row r="110" spans="1:14">
      <c r="E110" s="187"/>
      <c r="F110" s="187"/>
      <c r="G110" s="187"/>
      <c r="H110" s="187"/>
      <c r="L110" s="187"/>
      <c r="M110" s="187"/>
      <c r="N110" s="187"/>
    </row>
    <row r="111" spans="1:14">
      <c r="E111" s="187"/>
      <c r="F111" s="187"/>
      <c r="G111" s="187"/>
      <c r="H111" s="187"/>
      <c r="L111" s="187"/>
      <c r="M111" s="187"/>
      <c r="N111" s="187"/>
    </row>
    <row r="112" spans="1:14">
      <c r="E112" s="187"/>
      <c r="F112" s="187"/>
      <c r="G112" s="187"/>
      <c r="H112" s="187"/>
      <c r="L112" s="187"/>
      <c r="M112" s="187"/>
      <c r="N112" s="187"/>
    </row>
    <row r="113" spans="1:14">
      <c r="E113" s="187"/>
      <c r="F113" s="187"/>
      <c r="G113" s="187"/>
      <c r="H113" s="187"/>
      <c r="L113" s="187"/>
      <c r="M113" s="187"/>
      <c r="N113" s="187"/>
    </row>
    <row r="114" spans="1:14">
      <c r="E114" s="187"/>
      <c r="F114" s="187"/>
      <c r="G114" s="187"/>
      <c r="H114" s="187"/>
      <c r="L114" s="187"/>
      <c r="M114" s="187"/>
      <c r="N114" s="187"/>
    </row>
    <row r="115" spans="1:14">
      <c r="E115" s="187"/>
      <c r="F115" s="187"/>
      <c r="G115" s="187"/>
      <c r="H115" s="187"/>
      <c r="L115" s="187"/>
      <c r="M115" s="187"/>
      <c r="N115" s="187"/>
    </row>
    <row r="116" spans="1:14">
      <c r="E116" s="187"/>
      <c r="F116" s="187"/>
      <c r="G116" s="187"/>
      <c r="H116" s="187"/>
      <c r="L116" s="187"/>
      <c r="M116" s="187"/>
      <c r="N116" s="187"/>
    </row>
    <row r="117" spans="1:14">
      <c r="E117" s="187"/>
      <c r="F117" s="187"/>
      <c r="G117" s="187"/>
      <c r="H117" s="187"/>
      <c r="L117" s="187"/>
      <c r="M117" s="187"/>
      <c r="N117" s="187"/>
    </row>
    <row r="118" spans="1:14">
      <c r="G118" s="187"/>
      <c r="H118" s="187"/>
      <c r="L118" s="203"/>
      <c r="M118" s="203"/>
      <c r="N118" s="203"/>
    </row>
    <row r="119" spans="1:14">
      <c r="A119" s="187"/>
      <c r="B119" s="187"/>
      <c r="C119" s="237"/>
      <c r="D119" s="209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</row>
    <row r="120" spans="1:14">
      <c r="A120" s="187"/>
      <c r="B120" s="187"/>
      <c r="C120" s="187"/>
      <c r="D120" s="187"/>
      <c r="E120" s="187"/>
      <c r="F120" s="187"/>
      <c r="G120" s="187"/>
      <c r="H120" s="187"/>
      <c r="I120" s="199" t="s">
        <v>544</v>
      </c>
      <c r="J120" s="199"/>
      <c r="K120" s="187"/>
      <c r="L120" s="187"/>
      <c r="M120" s="187"/>
      <c r="N120" s="187"/>
    </row>
    <row r="121" spans="1:14">
      <c r="A121" s="215" t="s">
        <v>369</v>
      </c>
      <c r="B121" s="43"/>
      <c r="C121" s="9" t="s">
        <v>870</v>
      </c>
      <c r="L121" s="9"/>
      <c r="M121" s="9"/>
      <c r="N121" s="9"/>
    </row>
    <row r="122" spans="1:14">
      <c r="A122" s="215"/>
      <c r="B122" s="43"/>
      <c r="C122" s="43"/>
      <c r="L122" s="43"/>
      <c r="M122" s="43"/>
      <c r="N122" s="43"/>
    </row>
    <row r="123" spans="1:14">
      <c r="A123" s="9" t="s">
        <v>370</v>
      </c>
      <c r="D123" s="230"/>
      <c r="E123" s="230"/>
      <c r="F123" s="230"/>
    </row>
    <row r="124" spans="1:14">
      <c r="A124" s="9"/>
      <c r="D124" s="230"/>
      <c r="E124" s="230"/>
      <c r="F124" s="230"/>
    </row>
    <row r="125" spans="1:14">
      <c r="A125" s="9" t="s">
        <v>536</v>
      </c>
      <c r="B125" s="194" t="s">
        <v>542</v>
      </c>
      <c r="C125" s="194" t="s">
        <v>543</v>
      </c>
      <c r="D125" s="9"/>
      <c r="E125" s="9"/>
      <c r="F125" s="9"/>
      <c r="G125" s="9"/>
      <c r="H125" s="9"/>
      <c r="L125" s="194"/>
      <c r="M125" s="194"/>
      <c r="N125" s="194"/>
    </row>
    <row r="126" spans="1:14">
      <c r="A126" s="9"/>
      <c r="B126" s="194" t="s">
        <v>83</v>
      </c>
      <c r="C126" s="194" t="s">
        <v>537</v>
      </c>
      <c r="D126" s="9"/>
      <c r="E126" s="9"/>
      <c r="F126" s="9"/>
      <c r="G126" s="9"/>
      <c r="H126" s="9"/>
      <c r="L126" s="194"/>
      <c r="M126" s="194"/>
      <c r="N126" s="194"/>
    </row>
    <row r="127" spans="1:14">
      <c r="B127" s="197"/>
      <c r="C127" s="197"/>
      <c r="L127" s="197"/>
      <c r="M127" s="197"/>
      <c r="N127" s="197"/>
    </row>
    <row r="128" spans="1:14">
      <c r="A128" s="187" t="s">
        <v>139</v>
      </c>
      <c r="B128" s="202">
        <v>30000</v>
      </c>
      <c r="C128" s="202">
        <v>30000</v>
      </c>
      <c r="D128" s="187"/>
      <c r="E128" s="187"/>
      <c r="F128" s="187"/>
      <c r="G128" s="187"/>
      <c r="H128" s="187"/>
      <c r="L128" s="199"/>
      <c r="M128" s="199"/>
      <c r="N128" s="199"/>
    </row>
    <row r="129" spans="1:40">
      <c r="A129" s="187"/>
      <c r="B129" s="68"/>
      <c r="C129" s="202"/>
      <c r="D129" s="187"/>
      <c r="E129" s="187"/>
      <c r="F129" s="187"/>
      <c r="G129" s="187"/>
      <c r="H129" s="187"/>
      <c r="L129" s="187"/>
      <c r="M129" s="187"/>
      <c r="N129" s="187"/>
    </row>
    <row r="130" spans="1:40" ht="16.5" thickBot="1">
      <c r="A130" s="200" t="s">
        <v>151</v>
      </c>
      <c r="B130" s="223">
        <f>SUM(B128)</f>
        <v>30000</v>
      </c>
      <c r="C130" s="204">
        <f>SUM(C128)</f>
        <v>30000</v>
      </c>
      <c r="D130" s="200"/>
      <c r="E130" s="200"/>
      <c r="F130" s="200"/>
      <c r="G130" s="187"/>
      <c r="H130" s="187"/>
      <c r="L130" s="203"/>
      <c r="M130" s="203"/>
      <c r="N130" s="203"/>
    </row>
    <row r="131" spans="1:40" ht="16.5" thickTop="1">
      <c r="A131" s="187"/>
      <c r="B131" s="209"/>
      <c r="C131" s="209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</row>
    <row r="132" spans="1:40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</row>
    <row r="133" spans="1:40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</row>
    <row r="134" spans="1:40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</row>
    <row r="135" spans="1:40">
      <c r="R135" s="77" t="s">
        <v>544</v>
      </c>
      <c r="AL135" s="222" t="e">
        <f>SUM(#REF!)</f>
        <v>#REF!</v>
      </c>
    </row>
    <row r="136" spans="1:40">
      <c r="A136" s="215" t="s">
        <v>265</v>
      </c>
      <c r="B136" s="43"/>
      <c r="C136" s="43" t="s">
        <v>871</v>
      </c>
      <c r="L136" s="43"/>
      <c r="M136" s="43"/>
      <c r="N136" s="43"/>
    </row>
    <row r="137" spans="1:40">
      <c r="A137" s="215"/>
      <c r="B137" s="43"/>
      <c r="C137" s="43"/>
      <c r="L137" s="43"/>
      <c r="M137" s="43"/>
      <c r="N137" s="43"/>
    </row>
    <row r="138" spans="1:40">
      <c r="A138" s="9" t="s">
        <v>610</v>
      </c>
      <c r="B138" s="194" t="s">
        <v>542</v>
      </c>
      <c r="C138" s="194" t="s">
        <v>543</v>
      </c>
      <c r="D138" s="230"/>
      <c r="E138" s="230"/>
      <c r="F138" s="230"/>
    </row>
    <row r="139" spans="1:40">
      <c r="B139" s="194" t="s">
        <v>83</v>
      </c>
      <c r="C139" s="194" t="s">
        <v>537</v>
      </c>
      <c r="D139" s="9"/>
      <c r="E139" s="9"/>
      <c r="F139" s="9"/>
      <c r="G139" s="9"/>
      <c r="H139" s="9"/>
      <c r="L139" s="194"/>
      <c r="M139" s="194"/>
      <c r="N139" s="194"/>
      <c r="O139" s="238" t="s">
        <v>18</v>
      </c>
      <c r="P139" s="238" t="s">
        <v>535</v>
      </c>
      <c r="Q139" s="238" t="s">
        <v>23</v>
      </c>
      <c r="R139" s="238" t="s">
        <v>250</v>
      </c>
      <c r="S139" s="238" t="s">
        <v>561</v>
      </c>
      <c r="T139" s="238" t="s">
        <v>437</v>
      </c>
      <c r="U139" s="238" t="s">
        <v>632</v>
      </c>
      <c r="V139" s="238" t="s">
        <v>22</v>
      </c>
      <c r="W139" s="238"/>
      <c r="X139" s="238" t="s">
        <v>390</v>
      </c>
      <c r="Y139" s="238" t="s">
        <v>560</v>
      </c>
      <c r="Z139" s="238" t="s">
        <v>20</v>
      </c>
      <c r="AA139" s="238" t="s">
        <v>371</v>
      </c>
      <c r="AB139" s="238"/>
      <c r="AC139" s="238"/>
      <c r="AD139" s="238"/>
      <c r="AE139" s="238"/>
      <c r="AF139" s="238"/>
      <c r="AG139" s="238"/>
      <c r="AH139" s="238"/>
      <c r="AI139" s="238" t="s">
        <v>249</v>
      </c>
      <c r="AJ139" s="238" t="s">
        <v>630</v>
      </c>
      <c r="AK139" s="238" t="s">
        <v>631</v>
      </c>
      <c r="AL139" s="238" t="s">
        <v>68</v>
      </c>
      <c r="AM139" s="77" t="s">
        <v>439</v>
      </c>
    </row>
    <row r="140" spans="1:40">
      <c r="B140" s="197"/>
      <c r="C140" s="197"/>
      <c r="D140" s="9"/>
      <c r="E140" s="9"/>
      <c r="F140" s="9"/>
      <c r="G140" s="9"/>
      <c r="H140" s="9"/>
      <c r="L140" s="194"/>
      <c r="M140" s="194"/>
      <c r="N140" s="194"/>
    </row>
    <row r="141" spans="1:40">
      <c r="A141" s="187" t="s">
        <v>139</v>
      </c>
      <c r="B141" s="68">
        <f>C146</f>
        <v>4461294.6899999976</v>
      </c>
      <c r="C141" s="202">
        <v>4342228.6899999902</v>
      </c>
      <c r="L141" s="197"/>
      <c r="M141" s="197"/>
      <c r="N141" s="197"/>
    </row>
    <row r="142" spans="1:40">
      <c r="A142" s="199" t="s">
        <v>726</v>
      </c>
      <c r="B142" s="68">
        <v>-29600</v>
      </c>
      <c r="C142" s="202">
        <v>0</v>
      </c>
      <c r="D142" s="187"/>
      <c r="E142" s="187"/>
      <c r="F142" s="187"/>
      <c r="G142" s="187"/>
      <c r="H142" s="187"/>
      <c r="L142" s="199"/>
      <c r="M142" s="199"/>
      <c r="N142" s="199"/>
      <c r="O142" s="77">
        <v>50279</v>
      </c>
      <c r="P142" s="77">
        <v>109728</v>
      </c>
      <c r="Q142" s="77">
        <v>28953</v>
      </c>
      <c r="R142" s="77">
        <v>93567.85</v>
      </c>
      <c r="S142" s="77">
        <v>0</v>
      </c>
      <c r="T142" s="77">
        <v>-2142</v>
      </c>
      <c r="U142" s="222">
        <v>2007093.84</v>
      </c>
      <c r="V142" s="77">
        <v>8396154</v>
      </c>
      <c r="Y142" s="77">
        <v>67</v>
      </c>
      <c r="Z142" s="77">
        <v>186142</v>
      </c>
      <c r="AA142" s="77">
        <f>199266-29600</f>
        <v>169666</v>
      </c>
      <c r="AI142" s="222">
        <v>1677515</v>
      </c>
      <c r="AJ142" s="222">
        <v>159611</v>
      </c>
      <c r="AL142" s="77">
        <v>0</v>
      </c>
      <c r="AM142" s="77">
        <f>SUM(O142:AL142)</f>
        <v>12876634.689999999</v>
      </c>
      <c r="AN142" s="222">
        <v>0</v>
      </c>
    </row>
    <row r="143" spans="1:40">
      <c r="A143" s="187" t="s">
        <v>373</v>
      </c>
      <c r="B143" s="68">
        <f>AM144</f>
        <v>118715206.72999999</v>
      </c>
      <c r="C143" s="202">
        <v>166070304.44999999</v>
      </c>
      <c r="D143" s="187"/>
      <c r="E143" s="187"/>
      <c r="F143" s="187"/>
      <c r="G143" s="187"/>
      <c r="H143" s="187"/>
      <c r="L143" s="199"/>
      <c r="M143" s="199"/>
      <c r="N143" s="199"/>
      <c r="U143" s="222"/>
      <c r="AI143" s="222"/>
      <c r="AM143" s="77" t="s">
        <v>544</v>
      </c>
    </row>
    <row r="144" spans="1:40">
      <c r="A144" s="187" t="s">
        <v>664</v>
      </c>
      <c r="B144" s="68">
        <f>AM145</f>
        <v>0.95</v>
      </c>
      <c r="C144" s="202"/>
      <c r="D144" s="187"/>
      <c r="E144" s="187"/>
      <c r="F144" s="187"/>
      <c r="G144" s="187"/>
      <c r="H144" s="187"/>
      <c r="L144" s="199"/>
      <c r="M144" s="199"/>
      <c r="N144" s="199"/>
      <c r="O144" s="77">
        <v>9940333</v>
      </c>
      <c r="P144" s="77">
        <f>1938480+2813872</f>
        <v>4752352</v>
      </c>
      <c r="Q144" s="77">
        <v>3472410</v>
      </c>
      <c r="R144" s="77">
        <v>6912200</v>
      </c>
      <c r="S144" s="77">
        <v>7609768</v>
      </c>
      <c r="T144" s="77">
        <v>4090827</v>
      </c>
      <c r="U144" s="222">
        <v>0</v>
      </c>
      <c r="V144" s="77">
        <v>35401518.229999997</v>
      </c>
      <c r="X144" s="77">
        <v>445146</v>
      </c>
      <c r="Y144" s="77">
        <f>3388305+22411</f>
        <v>3410716</v>
      </c>
      <c r="Z144" s="77">
        <v>3498627</v>
      </c>
      <c r="AA144" s="77">
        <v>7073478</v>
      </c>
      <c r="AI144" s="222">
        <f>21199635.5</f>
        <v>21199635.5</v>
      </c>
      <c r="AJ144" s="77">
        <v>10908196</v>
      </c>
      <c r="AL144" s="77">
        <v>0</v>
      </c>
      <c r="AM144" s="222">
        <f>SUM(O144:AL144)</f>
        <v>118715206.72999999</v>
      </c>
    </row>
    <row r="145" spans="1:41">
      <c r="A145" s="187" t="s">
        <v>374</v>
      </c>
      <c r="B145" s="68">
        <f>AM147</f>
        <v>118522740.67999999</v>
      </c>
      <c r="C145" s="202">
        <v>166189370.44999999</v>
      </c>
      <c r="D145" s="187"/>
      <c r="E145" s="187"/>
      <c r="F145" s="187"/>
      <c r="G145" s="187"/>
      <c r="H145" s="187"/>
      <c r="L145" s="199"/>
      <c r="M145" s="199"/>
      <c r="N145" s="199"/>
      <c r="U145" s="222"/>
      <c r="Z145" s="77">
        <v>0.95</v>
      </c>
      <c r="AI145" s="222"/>
      <c r="AM145" s="222">
        <f>SUM(O145:AL145)</f>
        <v>0.95</v>
      </c>
    </row>
    <row r="146" spans="1:41">
      <c r="A146" s="200" t="s">
        <v>151</v>
      </c>
      <c r="B146" s="239">
        <f>+B141-B143+B145+B142-B144</f>
        <v>4239227.6900000004</v>
      </c>
      <c r="C146" s="239">
        <f>+C141-C143+C145+C142</f>
        <v>4461294.6899999976</v>
      </c>
      <c r="D146" s="187"/>
      <c r="E146" s="187"/>
      <c r="F146" s="187"/>
      <c r="G146" s="187"/>
      <c r="H146" s="187"/>
      <c r="L146" s="199"/>
      <c r="M146" s="199"/>
      <c r="N146" s="199"/>
      <c r="R146" s="77">
        <v>0</v>
      </c>
      <c r="U146" s="222"/>
      <c r="Z146" s="77">
        <v>0</v>
      </c>
      <c r="AI146" s="222"/>
      <c r="AM146" s="77" t="s">
        <v>544</v>
      </c>
    </row>
    <row r="147" spans="1:41">
      <c r="D147" s="187"/>
      <c r="E147" s="187"/>
      <c r="F147" s="187"/>
      <c r="G147" s="187"/>
      <c r="H147" s="187"/>
      <c r="L147" s="199"/>
      <c r="M147" s="199"/>
      <c r="N147" s="199"/>
      <c r="O147" s="77">
        <v>10066771</v>
      </c>
      <c r="P147" s="77">
        <f>1938480+2810126</f>
        <v>4748606</v>
      </c>
      <c r="Q147" s="77">
        <v>3444707</v>
      </c>
      <c r="R147" s="222">
        <v>6910820</v>
      </c>
      <c r="S147" s="77">
        <v>7609698</v>
      </c>
      <c r="T147" s="77">
        <v>4090827</v>
      </c>
      <c r="U147" s="222">
        <v>54080</v>
      </c>
      <c r="V147" s="77">
        <v>35210495.229999997</v>
      </c>
      <c r="X147" s="77">
        <v>445146</v>
      </c>
      <c r="Y147" s="77">
        <f>3388305+22344</f>
        <v>3410649</v>
      </c>
      <c r="Z147" s="77">
        <v>3498627.95</v>
      </c>
      <c r="AA147" s="77">
        <v>7073478</v>
      </c>
      <c r="AI147" s="222">
        <f>21199698.5</f>
        <v>21199698.5</v>
      </c>
      <c r="AJ147" s="77">
        <v>10759137</v>
      </c>
      <c r="AM147" s="222">
        <f>SUM(O147:AJ147)</f>
        <v>118522740.67999999</v>
      </c>
    </row>
    <row r="148" spans="1:41">
      <c r="A148" s="9" t="s">
        <v>375</v>
      </c>
      <c r="B148" s="68"/>
      <c r="C148" s="68"/>
      <c r="D148" s="187"/>
      <c r="E148" s="187"/>
      <c r="F148" s="187"/>
      <c r="G148" s="187"/>
      <c r="H148" s="187"/>
      <c r="L148" s="199"/>
      <c r="M148" s="199"/>
      <c r="N148" s="199"/>
      <c r="AM148" s="77" t="s">
        <v>544</v>
      </c>
    </row>
    <row r="149" spans="1:41">
      <c r="A149" s="222" t="s">
        <v>544</v>
      </c>
      <c r="B149" s="68"/>
      <c r="C149" s="242"/>
      <c r="D149" s="200"/>
      <c r="E149" s="200"/>
      <c r="F149" s="200"/>
      <c r="G149" s="187"/>
      <c r="H149" s="187"/>
      <c r="L149" s="203"/>
      <c r="M149" s="203"/>
      <c r="N149" s="203"/>
      <c r="O149" s="240">
        <f t="shared" ref="O149:AL149" si="5">+O142-O144+O147</f>
        <v>176717</v>
      </c>
      <c r="P149" s="241">
        <f t="shared" si="5"/>
        <v>105982</v>
      </c>
      <c r="Q149" s="203">
        <f t="shared" si="5"/>
        <v>1250</v>
      </c>
      <c r="R149" s="240">
        <f>+R142-R144+R147+R146</f>
        <v>92187.849999999627</v>
      </c>
      <c r="S149" s="203">
        <f t="shared" si="5"/>
        <v>-70</v>
      </c>
      <c r="T149" s="203">
        <f t="shared" si="5"/>
        <v>-2142</v>
      </c>
      <c r="U149" s="241">
        <f t="shared" si="5"/>
        <v>2061173.84</v>
      </c>
      <c r="V149" s="203">
        <f t="shared" si="5"/>
        <v>8205131</v>
      </c>
      <c r="W149" s="203"/>
      <c r="X149" s="241">
        <f>+X142-X144+X147</f>
        <v>0</v>
      </c>
      <c r="Y149" s="241">
        <f>+Y142-Y144+Y147</f>
        <v>0</v>
      </c>
      <c r="Z149" s="241">
        <f>+Z142-Z144+Z147-Z145</f>
        <v>186142.00000000017</v>
      </c>
      <c r="AA149" s="241">
        <f t="shared" si="5"/>
        <v>169666</v>
      </c>
      <c r="AB149" s="241"/>
      <c r="AC149" s="241"/>
      <c r="AD149" s="241"/>
      <c r="AE149" s="241"/>
      <c r="AF149" s="241"/>
      <c r="AG149" s="241"/>
      <c r="AH149" s="241"/>
      <c r="AI149" s="241">
        <f t="shared" si="5"/>
        <v>1677578</v>
      </c>
      <c r="AJ149" s="241">
        <f t="shared" si="5"/>
        <v>10552</v>
      </c>
      <c r="AK149" s="203">
        <f t="shared" si="5"/>
        <v>0</v>
      </c>
      <c r="AL149" s="203">
        <f t="shared" si="5"/>
        <v>0</v>
      </c>
      <c r="AM149" s="203">
        <f>+AM142-AM144+AM147-AM145</f>
        <v>12684167.690000001</v>
      </c>
      <c r="AN149" s="222" t="s">
        <v>544</v>
      </c>
      <c r="AO149" s="222" t="s">
        <v>544</v>
      </c>
    </row>
    <row r="150" spans="1:41">
      <c r="A150" s="187" t="s">
        <v>87</v>
      </c>
      <c r="B150" s="68">
        <v>6894975.5300000003</v>
      </c>
      <c r="C150" s="202">
        <v>6894975.5299999993</v>
      </c>
      <c r="D150" s="187"/>
      <c r="E150" s="187"/>
      <c r="F150" s="187"/>
      <c r="G150" s="187"/>
      <c r="H150" s="187"/>
      <c r="L150" s="203"/>
      <c r="M150" s="203"/>
      <c r="N150" s="203"/>
    </row>
    <row r="151" spans="1:41">
      <c r="A151" s="187" t="s">
        <v>376</v>
      </c>
      <c r="B151" s="68">
        <f>AM154</f>
        <v>2469676.88</v>
      </c>
      <c r="C151" s="202">
        <v>2469676.88</v>
      </c>
      <c r="D151" s="230"/>
      <c r="E151" s="230"/>
      <c r="F151" s="230"/>
    </row>
    <row r="152" spans="1:41">
      <c r="A152" s="187" t="s">
        <v>377</v>
      </c>
      <c r="B152" s="68">
        <f>AM155</f>
        <v>274205</v>
      </c>
      <c r="C152" s="202">
        <v>49664</v>
      </c>
      <c r="L152" s="197"/>
      <c r="M152" s="197"/>
      <c r="N152" s="197"/>
      <c r="Q152" s="243"/>
    </row>
    <row r="153" spans="1:41">
      <c r="A153" s="187" t="s">
        <v>378</v>
      </c>
      <c r="B153" s="68">
        <f>AM157</f>
        <v>64943</v>
      </c>
      <c r="C153" s="202">
        <v>49664</v>
      </c>
      <c r="D153" s="187"/>
      <c r="E153" s="187"/>
      <c r="F153" s="187"/>
      <c r="G153" s="187"/>
      <c r="H153" s="187"/>
      <c r="L153" s="199"/>
      <c r="M153" s="199"/>
      <c r="N153" s="199"/>
      <c r="O153" s="232">
        <v>1224871</v>
      </c>
      <c r="P153" s="77">
        <v>210130</v>
      </c>
      <c r="Q153" s="77">
        <v>11270</v>
      </c>
      <c r="R153" s="77">
        <v>21747</v>
      </c>
      <c r="T153" s="77">
        <v>26263</v>
      </c>
      <c r="U153" s="77">
        <v>38082.65</v>
      </c>
      <c r="V153" s="77">
        <v>2469676.88</v>
      </c>
      <c r="AA153" s="77">
        <v>127500</v>
      </c>
      <c r="AJ153" s="222">
        <v>2483562</v>
      </c>
      <c r="AK153" s="77">
        <v>261873</v>
      </c>
      <c r="AL153" s="77">
        <v>20000</v>
      </c>
      <c r="AM153" s="77">
        <f>SUM(O153:AL153)</f>
        <v>6894975.5299999993</v>
      </c>
      <c r="AN153" s="222">
        <f>SUM(AM153-B150)</f>
        <v>-9.3132257461547852E-10</v>
      </c>
    </row>
    <row r="154" spans="1:41">
      <c r="A154" s="200" t="s">
        <v>151</v>
      </c>
      <c r="B154" s="239">
        <f>+B150-B152+B153-B151</f>
        <v>4216036.6500000004</v>
      </c>
      <c r="C154" s="239">
        <f>+C150-C152+C153-C151</f>
        <v>4425298.6499999994</v>
      </c>
      <c r="D154" s="187"/>
      <c r="E154" s="187"/>
      <c r="F154" s="187"/>
      <c r="G154" s="187"/>
      <c r="H154" s="187"/>
      <c r="L154" s="187"/>
      <c r="M154" s="187"/>
      <c r="N154" s="187"/>
      <c r="V154" s="77">
        <v>2469676.88</v>
      </c>
      <c r="AM154" s="77">
        <f>SUM(O154:AL154)</f>
        <v>2469676.88</v>
      </c>
    </row>
    <row r="155" spans="1:41">
      <c r="D155" s="187"/>
      <c r="E155" s="187"/>
      <c r="F155" s="187"/>
      <c r="G155" s="187"/>
      <c r="H155" s="187"/>
      <c r="L155" s="199"/>
      <c r="M155" s="199"/>
      <c r="N155" s="199"/>
      <c r="P155" s="77">
        <v>210130</v>
      </c>
      <c r="Q155" s="77">
        <v>0</v>
      </c>
      <c r="R155" s="77">
        <v>64075</v>
      </c>
      <c r="T155" s="77">
        <v>0</v>
      </c>
      <c r="V155" s="77">
        <v>0</v>
      </c>
      <c r="AA155" s="77">
        <v>0</v>
      </c>
      <c r="AJ155" s="222">
        <v>0</v>
      </c>
      <c r="AL155" s="77">
        <v>0</v>
      </c>
      <c r="AM155" s="222">
        <f>SUM(O155:AL155)</f>
        <v>274205</v>
      </c>
    </row>
    <row r="156" spans="1:41">
      <c r="A156" s="9" t="s">
        <v>379</v>
      </c>
      <c r="B156" s="68"/>
      <c r="C156" s="68"/>
      <c r="D156" s="187"/>
      <c r="E156" s="187"/>
      <c r="F156" s="187"/>
      <c r="G156" s="187"/>
      <c r="H156" s="187"/>
      <c r="L156" s="199"/>
      <c r="M156" s="199"/>
      <c r="N156" s="199"/>
      <c r="AA156" s="222" t="s">
        <v>544</v>
      </c>
      <c r="AB156" s="222"/>
      <c r="AC156" s="222"/>
      <c r="AD156" s="222"/>
      <c r="AE156" s="222"/>
      <c r="AF156" s="222"/>
      <c r="AG156" s="222"/>
      <c r="AH156" s="222"/>
      <c r="AJ156" s="222"/>
      <c r="AM156" s="222" t="s">
        <v>544</v>
      </c>
    </row>
    <row r="157" spans="1:41">
      <c r="B157" s="68"/>
      <c r="C157" s="242"/>
      <c r="D157" s="187"/>
      <c r="E157" s="187"/>
      <c r="F157" s="187"/>
      <c r="G157" s="187"/>
      <c r="H157" s="187"/>
      <c r="L157" s="199"/>
      <c r="M157" s="199"/>
      <c r="N157" s="199"/>
      <c r="Q157" s="77">
        <v>0</v>
      </c>
      <c r="R157" s="77">
        <v>64943</v>
      </c>
      <c r="T157" s="77">
        <v>0</v>
      </c>
      <c r="U157" s="77">
        <v>0</v>
      </c>
      <c r="AA157" s="77">
        <v>0</v>
      </c>
      <c r="AJ157" s="222">
        <v>0</v>
      </c>
      <c r="AM157" s="222">
        <f>SUM(O157:AJ157)</f>
        <v>64943</v>
      </c>
    </row>
    <row r="158" spans="1:41">
      <c r="A158" s="187" t="s">
        <v>87</v>
      </c>
      <c r="B158" s="68">
        <f>C162</f>
        <v>9263718.1999999993</v>
      </c>
      <c r="C158" s="202">
        <v>9263718.1999999993</v>
      </c>
      <c r="D158" s="187"/>
      <c r="E158" s="187"/>
      <c r="F158" s="187"/>
      <c r="G158" s="187"/>
      <c r="H158" s="187"/>
      <c r="L158" s="187"/>
      <c r="M158" s="187"/>
      <c r="N158" s="187"/>
      <c r="Q158" s="77">
        <v>0</v>
      </c>
      <c r="AM158" s="222">
        <f>SUM(O158:AJ158)</f>
        <v>0</v>
      </c>
    </row>
    <row r="159" spans="1:41">
      <c r="A159" s="77" t="s">
        <v>381</v>
      </c>
      <c r="B159" s="68">
        <f>AM169</f>
        <v>3015962</v>
      </c>
      <c r="C159" s="68">
        <v>2543363</v>
      </c>
      <c r="D159" s="187"/>
      <c r="E159" s="187"/>
      <c r="F159" s="187"/>
      <c r="G159" s="187"/>
      <c r="H159" s="187"/>
      <c r="L159" s="187"/>
      <c r="M159" s="187"/>
      <c r="N159" s="187"/>
      <c r="AM159" s="222"/>
    </row>
    <row r="160" spans="1:41">
      <c r="A160" s="187" t="s">
        <v>382</v>
      </c>
      <c r="B160" s="68">
        <f>AM171</f>
        <v>4135153</v>
      </c>
      <c r="C160" s="202">
        <v>2543363</v>
      </c>
      <c r="D160" s="200"/>
      <c r="E160" s="200"/>
      <c r="F160" s="200"/>
      <c r="G160" s="187"/>
      <c r="H160" s="187"/>
      <c r="L160" s="203"/>
      <c r="M160" s="203"/>
      <c r="N160" s="203"/>
      <c r="O160" s="244">
        <f>+O153-O155+O157</f>
        <v>1224871</v>
      </c>
      <c r="P160" s="244">
        <f>+P153-P155+P157</f>
        <v>0</v>
      </c>
      <c r="Q160" s="244">
        <f>+Q153-Q155+Q157+Q158</f>
        <v>11270</v>
      </c>
      <c r="R160" s="244">
        <f>+R153-R155+R157</f>
        <v>22615</v>
      </c>
      <c r="S160" s="244"/>
      <c r="T160" s="244">
        <f>+T153-T155+T157</f>
        <v>26263</v>
      </c>
      <c r="U160" s="241">
        <f>+U153-U155+U157</f>
        <v>38082.65</v>
      </c>
      <c r="V160" s="244">
        <f>+V153-V155+V157-V154</f>
        <v>0</v>
      </c>
      <c r="W160" s="244"/>
      <c r="X160" s="244"/>
      <c r="Y160" s="244"/>
      <c r="Z160" s="203">
        <f>+Z153-Z155+Z157</f>
        <v>0</v>
      </c>
      <c r="AA160" s="203">
        <f>+AA153-AA155+AA157</f>
        <v>127500</v>
      </c>
      <c r="AB160" s="203"/>
      <c r="AC160" s="203"/>
      <c r="AD160" s="203"/>
      <c r="AE160" s="203"/>
      <c r="AF160" s="203"/>
      <c r="AG160" s="203"/>
      <c r="AH160" s="203"/>
      <c r="AI160" s="203">
        <f>+AI153-AI155+AI157</f>
        <v>0</v>
      </c>
      <c r="AJ160" s="244">
        <f>+AJ153-AJ155+AJ157</f>
        <v>2483562</v>
      </c>
      <c r="AK160" s="244">
        <f>+AK153-AK155+AK157</f>
        <v>261873</v>
      </c>
      <c r="AL160" s="244">
        <f>+AL153-AL155+AL157</f>
        <v>20000</v>
      </c>
      <c r="AM160" s="203">
        <f>+AM153-AM155+AM157+AM158-AM154</f>
        <v>4216036.6499999994</v>
      </c>
      <c r="AN160" s="222" t="s">
        <v>544</v>
      </c>
      <c r="AO160" s="222" t="s">
        <v>544</v>
      </c>
    </row>
    <row r="161" spans="1:40">
      <c r="A161" s="187" t="s">
        <v>544</v>
      </c>
      <c r="B161" s="68"/>
      <c r="C161" s="202" t="s">
        <v>544</v>
      </c>
      <c r="D161" s="187"/>
      <c r="E161" s="187"/>
      <c r="F161" s="187"/>
      <c r="G161" s="187"/>
      <c r="H161" s="187"/>
      <c r="L161" s="187"/>
      <c r="M161" s="187"/>
      <c r="N161" s="187"/>
    </row>
    <row r="162" spans="1:40">
      <c r="A162" s="200" t="s">
        <v>151</v>
      </c>
      <c r="B162" s="239">
        <f>SUM(+B158-B159+B160)</f>
        <v>10382909.199999999</v>
      </c>
      <c r="C162" s="239">
        <f>SUM(+C158-C159+C160)</f>
        <v>9263718.1999999993</v>
      </c>
      <c r="D162" s="187"/>
      <c r="E162" s="187"/>
      <c r="F162" s="187"/>
      <c r="G162" s="187"/>
      <c r="H162" s="187"/>
      <c r="L162" s="199"/>
      <c r="M162" s="199"/>
      <c r="N162" s="199"/>
    </row>
    <row r="163" spans="1:40">
      <c r="D163" s="230"/>
      <c r="E163" s="230"/>
      <c r="F163" s="230"/>
    </row>
    <row r="164" spans="1:40">
      <c r="A164" s="193" t="s">
        <v>383</v>
      </c>
      <c r="B164" s="68"/>
      <c r="C164" s="202"/>
      <c r="L164" s="197"/>
      <c r="M164" s="197"/>
      <c r="N164" s="197"/>
    </row>
    <row r="165" spans="1:40">
      <c r="A165" s="187"/>
      <c r="B165" s="68"/>
      <c r="C165" s="202"/>
      <c r="D165" s="187"/>
      <c r="E165" s="187"/>
      <c r="F165" s="187"/>
      <c r="G165" s="187"/>
      <c r="H165" s="187"/>
      <c r="L165" s="199"/>
      <c r="M165" s="199"/>
      <c r="N165" s="199"/>
      <c r="Q165" s="222">
        <v>16944</v>
      </c>
      <c r="V165" s="77">
        <v>0</v>
      </c>
      <c r="AA165" s="222">
        <v>137993</v>
      </c>
      <c r="AB165" s="222"/>
      <c r="AC165" s="222"/>
      <c r="AD165" s="222"/>
      <c r="AE165" s="222"/>
      <c r="AF165" s="222"/>
      <c r="AG165" s="222"/>
      <c r="AH165" s="222"/>
      <c r="AI165" s="222">
        <v>566198.19999999995</v>
      </c>
      <c r="AJ165" s="77">
        <v>97643</v>
      </c>
      <c r="AM165" s="222">
        <f>SUM(O165:AJ165)</f>
        <v>818778.2</v>
      </c>
      <c r="AN165" s="222">
        <f>SUM(AM165-B158)</f>
        <v>-8444940</v>
      </c>
    </row>
    <row r="166" spans="1:40">
      <c r="A166" s="187" t="s">
        <v>86</v>
      </c>
      <c r="B166" s="68">
        <f>AM177</f>
        <v>100000</v>
      </c>
      <c r="C166" s="202">
        <f>'[1]liability sch'!$D$122</f>
        <v>100000</v>
      </c>
      <c r="D166" s="187"/>
      <c r="E166" s="187"/>
      <c r="F166" s="187"/>
      <c r="G166" s="187"/>
      <c r="H166" s="187"/>
      <c r="L166" s="199"/>
      <c r="M166" s="199"/>
      <c r="N166" s="199"/>
      <c r="V166" s="77">
        <v>0</v>
      </c>
      <c r="AM166" s="222">
        <f>SUM(O166:AJ166)</f>
        <v>0</v>
      </c>
    </row>
    <row r="167" spans="1:40">
      <c r="A167" s="187"/>
      <c r="B167" s="68"/>
      <c r="C167" s="202"/>
      <c r="D167" s="187"/>
      <c r="E167" s="187"/>
      <c r="F167" s="187"/>
      <c r="G167" s="187"/>
      <c r="H167" s="187"/>
      <c r="L167" s="199"/>
      <c r="M167" s="199"/>
      <c r="N167" s="199"/>
      <c r="Q167" s="77">
        <v>0</v>
      </c>
      <c r="AM167" s="77">
        <f>SUM(O167:AJ167)</f>
        <v>0</v>
      </c>
    </row>
    <row r="168" spans="1:40">
      <c r="A168" s="200" t="s">
        <v>151</v>
      </c>
      <c r="B168" s="69">
        <f ca="1">SUM(B166:B182)</f>
        <v>100000</v>
      </c>
      <c r="C168" s="69">
        <f ca="1">SUM(C166:C182)</f>
        <v>100000</v>
      </c>
      <c r="AM168" s="77" t="s">
        <v>544</v>
      </c>
    </row>
    <row r="169" spans="1:40">
      <c r="L169" s="222"/>
      <c r="M169" s="222"/>
      <c r="N169" s="222"/>
      <c r="Q169" s="77">
        <v>0</v>
      </c>
      <c r="V169" s="77">
        <v>0</v>
      </c>
      <c r="Y169" s="77">
        <v>47400</v>
      </c>
      <c r="Z169" s="77">
        <v>131194</v>
      </c>
      <c r="AA169" s="77">
        <v>332057</v>
      </c>
      <c r="AI169" s="77">
        <v>24549</v>
      </c>
      <c r="AJ169" s="77">
        <v>2480762</v>
      </c>
      <c r="AM169" s="222">
        <f>SUM(O169:AJ169)</f>
        <v>3015962</v>
      </c>
    </row>
    <row r="170" spans="1:40">
      <c r="A170" s="9" t="s">
        <v>942</v>
      </c>
      <c r="B170" s="68"/>
      <c r="C170" s="68"/>
      <c r="AM170" s="222" t="s">
        <v>544</v>
      </c>
    </row>
    <row r="171" spans="1:40">
      <c r="A171" s="77" t="s">
        <v>87</v>
      </c>
      <c r="B171" s="68">
        <f>C175</f>
        <v>193</v>
      </c>
      <c r="C171" s="68">
        <v>193</v>
      </c>
      <c r="D171" s="187"/>
      <c r="E171" s="187"/>
      <c r="F171" s="187"/>
      <c r="G171" s="187"/>
      <c r="H171" s="187"/>
      <c r="L171" s="199"/>
      <c r="M171" s="199"/>
      <c r="N171" s="199"/>
      <c r="Q171" s="77">
        <v>0</v>
      </c>
      <c r="V171" s="77">
        <v>0</v>
      </c>
      <c r="Y171" s="77">
        <v>47400</v>
      </c>
      <c r="Z171" s="77">
        <v>131194</v>
      </c>
      <c r="AA171" s="77">
        <v>463338</v>
      </c>
      <c r="AI171" s="77">
        <v>1012459</v>
      </c>
      <c r="AJ171" s="77">
        <v>2480762</v>
      </c>
      <c r="AM171" s="222">
        <f>SUM(O171:AJ171)</f>
        <v>4135153</v>
      </c>
    </row>
    <row r="172" spans="1:40">
      <c r="A172" s="77" t="s">
        <v>779</v>
      </c>
      <c r="B172" s="68">
        <f>AM207</f>
        <v>2804000000</v>
      </c>
      <c r="C172" s="68">
        <v>13775000000</v>
      </c>
      <c r="D172" s="187"/>
      <c r="E172" s="187"/>
      <c r="F172" s="187"/>
      <c r="G172" s="187"/>
      <c r="H172" s="187"/>
      <c r="L172" s="199"/>
      <c r="M172" s="199"/>
      <c r="N172" s="199"/>
      <c r="V172" s="77" t="s">
        <v>544</v>
      </c>
    </row>
    <row r="173" spans="1:40">
      <c r="A173" s="77" t="s">
        <v>384</v>
      </c>
      <c r="B173" s="68">
        <f>AM209</f>
        <v>1080000000</v>
      </c>
      <c r="C173" s="68">
        <v>13775000000</v>
      </c>
      <c r="D173" s="200"/>
      <c r="E173" s="200"/>
      <c r="F173" s="200"/>
      <c r="G173" s="187"/>
      <c r="H173" s="187"/>
      <c r="L173" s="203"/>
      <c r="M173" s="203"/>
      <c r="N173" s="203"/>
      <c r="O173" s="203">
        <f>SUM(+O165-O167-O169+O171)</f>
        <v>0</v>
      </c>
      <c r="P173" s="203">
        <f>SUM(+P165-P167-P169+P171)</f>
        <v>0</v>
      </c>
      <c r="Q173" s="245">
        <f>SUM(+Q165-Q167-Q169+Q171)</f>
        <v>16944</v>
      </c>
      <c r="R173" s="203">
        <f>SUM(+R165-R167-R169+R171)</f>
        <v>0</v>
      </c>
      <c r="S173" s="203"/>
      <c r="T173" s="203">
        <f>SUM(+T165-T167-T169+T171)</f>
        <v>0</v>
      </c>
      <c r="U173" s="203">
        <f>SUM(+U165-U167-U169+U171)</f>
        <v>0</v>
      </c>
      <c r="V173" s="245">
        <f>SUM(+V165-V167-V169+V171+V166)</f>
        <v>0</v>
      </c>
      <c r="W173" s="245"/>
      <c r="X173" s="245"/>
      <c r="Y173" s="245"/>
      <c r="Z173" s="203">
        <f>SUM(+Z165-Z167-Z169+Z171)</f>
        <v>0</v>
      </c>
      <c r="AA173" s="245">
        <f>SUM(+AA165-AA167-AA169+AA171)</f>
        <v>269274</v>
      </c>
      <c r="AB173" s="245"/>
      <c r="AC173" s="245"/>
      <c r="AD173" s="245"/>
      <c r="AE173" s="245"/>
      <c r="AF173" s="245"/>
      <c r="AG173" s="245"/>
      <c r="AH173" s="245"/>
      <c r="AI173" s="245">
        <f>SUM(+AI165-AI167-AI169+AI171)</f>
        <v>1554108.2</v>
      </c>
      <c r="AJ173" s="203">
        <f>SUM(+AJ165-AJ167-AJ169+AJ171)</f>
        <v>97643</v>
      </c>
      <c r="AK173" s="203">
        <f>SUM(+AK165-AK167-AK169+AK171)</f>
        <v>0</v>
      </c>
      <c r="AL173" s="203">
        <f>SUM(+AL165-AL167-AL169+AL171)</f>
        <v>0</v>
      </c>
      <c r="AM173" s="203">
        <f>SUM(+AM165-AM167-AM169+AM171+AM166)</f>
        <v>1937969.2000000002</v>
      </c>
    </row>
    <row r="174" spans="1:40">
      <c r="B174" s="68"/>
      <c r="C174" s="68"/>
      <c r="D174" s="187"/>
      <c r="E174" s="187"/>
      <c r="F174" s="187"/>
      <c r="G174" s="187"/>
      <c r="H174" s="187"/>
      <c r="L174" s="187"/>
      <c r="M174" s="187"/>
      <c r="N174" s="187"/>
    </row>
    <row r="175" spans="1:40">
      <c r="A175" s="200" t="s">
        <v>151</v>
      </c>
      <c r="B175" s="69">
        <f>U211</f>
        <v>1724000193</v>
      </c>
      <c r="C175" s="69">
        <f>+C171+C172-C173</f>
        <v>193</v>
      </c>
      <c r="D175" s="187"/>
      <c r="E175" s="187"/>
      <c r="F175" s="187"/>
      <c r="G175" s="187"/>
      <c r="H175" s="187"/>
      <c r="L175" s="187"/>
      <c r="M175" s="187"/>
      <c r="N175" s="187"/>
    </row>
    <row r="176" spans="1:40">
      <c r="D176" s="187"/>
      <c r="E176" s="187"/>
      <c r="F176" s="187"/>
      <c r="G176" s="187"/>
      <c r="H176" s="187"/>
      <c r="L176" s="187"/>
      <c r="M176" s="187"/>
      <c r="N176" s="187"/>
    </row>
    <row r="177" spans="1:40">
      <c r="A177" s="9" t="s">
        <v>943</v>
      </c>
      <c r="B177" s="68"/>
      <c r="C177" s="68"/>
      <c r="D177" s="187"/>
      <c r="E177" s="187"/>
      <c r="F177" s="187"/>
      <c r="G177" s="187"/>
      <c r="H177" s="187"/>
      <c r="L177" s="199"/>
      <c r="M177" s="199"/>
      <c r="N177" s="199"/>
      <c r="P177" s="77">
        <v>0</v>
      </c>
      <c r="U177" s="77">
        <v>100000</v>
      </c>
      <c r="AM177" s="77">
        <f>SUM(O177:AJ177)</f>
        <v>100000</v>
      </c>
      <c r="AN177" s="222">
        <f>SUM(AM177-B166)</f>
        <v>0</v>
      </c>
    </row>
    <row r="178" spans="1:40">
      <c r="A178" s="9"/>
      <c r="B178" s="68"/>
      <c r="C178" s="68"/>
      <c r="D178" s="187"/>
      <c r="E178" s="187"/>
      <c r="F178" s="187"/>
      <c r="G178" s="187"/>
      <c r="H178" s="187"/>
      <c r="L178" s="199"/>
      <c r="M178" s="199"/>
      <c r="N178" s="199"/>
      <c r="AM178" s="77" t="s">
        <v>544</v>
      </c>
    </row>
    <row r="179" spans="1:40">
      <c r="A179" s="187" t="s">
        <v>86</v>
      </c>
      <c r="B179" s="68">
        <f>AM217</f>
        <v>992837.38</v>
      </c>
      <c r="C179" s="68">
        <f>'[1]liability sch'!$D$162</f>
        <v>992837.38</v>
      </c>
      <c r="D179" s="187"/>
      <c r="E179" s="187"/>
      <c r="F179" s="187"/>
      <c r="G179" s="187"/>
      <c r="H179" s="187"/>
      <c r="L179" s="199"/>
      <c r="M179" s="199"/>
      <c r="N179" s="199"/>
      <c r="Q179" s="77">
        <v>0</v>
      </c>
      <c r="AM179" s="77">
        <f>SUM(O179:AJ179)</f>
        <v>0</v>
      </c>
    </row>
    <row r="180" spans="1:40">
      <c r="A180" s="187" t="s">
        <v>385</v>
      </c>
      <c r="B180" s="68">
        <f>AM221</f>
        <v>-581132.38</v>
      </c>
      <c r="C180" s="202">
        <f>'[1]liability sch'!$D$166</f>
        <v>0</v>
      </c>
      <c r="D180" s="187"/>
      <c r="E180" s="187"/>
      <c r="F180" s="187"/>
      <c r="G180" s="187"/>
      <c r="H180" s="187"/>
      <c r="L180" s="187"/>
      <c r="M180" s="187"/>
      <c r="N180" s="187"/>
      <c r="AM180" s="77" t="s">
        <v>544</v>
      </c>
    </row>
    <row r="181" spans="1:40">
      <c r="A181" s="187" t="s">
        <v>386</v>
      </c>
      <c r="B181" s="68"/>
      <c r="C181" s="202" t="s">
        <v>544</v>
      </c>
      <c r="D181" s="187"/>
      <c r="E181" s="187"/>
      <c r="F181" s="187"/>
      <c r="G181" s="187"/>
      <c r="H181" s="187"/>
      <c r="L181" s="199"/>
      <c r="M181" s="199"/>
      <c r="N181" s="199"/>
      <c r="U181" s="77">
        <v>0</v>
      </c>
      <c r="AM181" s="77">
        <f>SUM(O181:AJ181)</f>
        <v>0</v>
      </c>
    </row>
    <row r="182" spans="1:40">
      <c r="A182" s="187" t="s">
        <v>544</v>
      </c>
      <c r="B182" s="68" t="s">
        <v>544</v>
      </c>
      <c r="C182" s="202" t="s">
        <v>544</v>
      </c>
      <c r="D182" s="187"/>
      <c r="E182" s="187"/>
      <c r="F182" s="187"/>
      <c r="G182" s="187"/>
      <c r="H182" s="187"/>
      <c r="L182" s="199"/>
      <c r="M182" s="199"/>
      <c r="N182" s="199"/>
      <c r="AM182" s="77" t="s">
        <v>544</v>
      </c>
    </row>
    <row r="183" spans="1:40">
      <c r="A183" s="200" t="s">
        <v>151</v>
      </c>
      <c r="B183" s="69">
        <f ca="1">SUM(B179:B224)</f>
        <v>411705</v>
      </c>
      <c r="C183" s="69">
        <f ca="1">SUM(C179:C224)</f>
        <v>992837.38</v>
      </c>
      <c r="D183" s="187"/>
      <c r="E183" s="187"/>
      <c r="F183" s="187"/>
      <c r="G183" s="187"/>
      <c r="H183" s="187"/>
      <c r="L183" s="199"/>
      <c r="M183" s="199"/>
      <c r="N183" s="199"/>
      <c r="U183" s="77">
        <v>0</v>
      </c>
      <c r="AM183" s="77">
        <f>SUM(O183:AJ183)</f>
        <v>0</v>
      </c>
    </row>
    <row r="184" spans="1:40">
      <c r="A184" s="187"/>
      <c r="B184" s="69"/>
      <c r="C184" s="239"/>
      <c r="D184" s="187"/>
      <c r="E184" s="187"/>
      <c r="F184" s="187"/>
      <c r="G184" s="187"/>
      <c r="H184" s="187"/>
      <c r="L184" s="199"/>
      <c r="M184" s="199"/>
      <c r="N184" s="199"/>
    </row>
    <row r="185" spans="1:40" ht="16.5" thickBot="1">
      <c r="A185" s="43" t="s">
        <v>597</v>
      </c>
      <c r="B185" s="70">
        <f ca="1">+B146+B154+B162+B168+B197+B203+B183+B175</f>
        <v>1743350071.54</v>
      </c>
      <c r="C185" s="70">
        <f ca="1">+C146+C154+C162+C168+C197+C203+C183+C175</f>
        <v>19243341.919999994</v>
      </c>
      <c r="D185" s="200"/>
      <c r="E185" s="200"/>
      <c r="F185" s="200"/>
      <c r="G185" s="187"/>
      <c r="H185" s="187"/>
      <c r="L185" s="203"/>
      <c r="M185" s="203"/>
      <c r="N185" s="203"/>
      <c r="O185" s="203">
        <f t="shared" ref="O185:AL185" si="6">SUM(+O177+O179-O181+O183)</f>
        <v>0</v>
      </c>
      <c r="P185" s="203">
        <f t="shared" si="6"/>
        <v>0</v>
      </c>
      <c r="Q185" s="203">
        <f t="shared" si="6"/>
        <v>0</v>
      </c>
      <c r="R185" s="203">
        <f t="shared" si="6"/>
        <v>0</v>
      </c>
      <c r="S185" s="203"/>
      <c r="T185" s="203">
        <f t="shared" si="6"/>
        <v>0</v>
      </c>
      <c r="U185" s="203">
        <f t="shared" si="6"/>
        <v>100000</v>
      </c>
      <c r="V185" s="203">
        <f t="shared" si="6"/>
        <v>0</v>
      </c>
      <c r="W185" s="203"/>
      <c r="X185" s="203"/>
      <c r="Y185" s="203"/>
      <c r="Z185" s="203">
        <f t="shared" si="6"/>
        <v>0</v>
      </c>
      <c r="AA185" s="203">
        <f t="shared" si="6"/>
        <v>0</v>
      </c>
      <c r="AB185" s="203"/>
      <c r="AC185" s="203"/>
      <c r="AD185" s="203"/>
      <c r="AE185" s="203"/>
      <c r="AF185" s="203"/>
      <c r="AG185" s="203"/>
      <c r="AH185" s="203"/>
      <c r="AI185" s="203">
        <f t="shared" si="6"/>
        <v>0</v>
      </c>
      <c r="AJ185" s="203">
        <f t="shared" si="6"/>
        <v>0</v>
      </c>
      <c r="AK185" s="203">
        <f t="shared" si="6"/>
        <v>0</v>
      </c>
      <c r="AL185" s="203">
        <f t="shared" si="6"/>
        <v>0</v>
      </c>
      <c r="AM185" s="203">
        <f>SUM(+AM177+AM179-AM181+AM183)</f>
        <v>100000</v>
      </c>
    </row>
    <row r="186" spans="1:40" ht="16.5" thickTop="1">
      <c r="D186" s="187"/>
      <c r="E186" s="187"/>
      <c r="F186" s="187"/>
      <c r="G186" s="187"/>
      <c r="H186" s="187"/>
      <c r="L186" s="187"/>
      <c r="M186" s="187"/>
      <c r="N186" s="187"/>
    </row>
    <row r="187" spans="1:40">
      <c r="A187" s="193" t="s">
        <v>544</v>
      </c>
      <c r="B187" s="68"/>
      <c r="C187" s="202"/>
      <c r="D187" s="187"/>
      <c r="E187" s="187"/>
      <c r="F187" s="187"/>
      <c r="G187" s="187"/>
      <c r="H187" s="187"/>
      <c r="L187" s="187"/>
      <c r="M187" s="187"/>
      <c r="N187" s="187"/>
    </row>
    <row r="188" spans="1:40">
      <c r="D188" s="187"/>
      <c r="E188" s="187"/>
      <c r="F188" s="187"/>
      <c r="G188" s="187"/>
      <c r="H188" s="187"/>
      <c r="L188" s="187"/>
      <c r="M188" s="187"/>
      <c r="N188" s="187"/>
    </row>
    <row r="189" spans="1:40">
      <c r="D189" s="187"/>
      <c r="E189" s="187"/>
      <c r="F189" s="187"/>
      <c r="G189" s="187"/>
      <c r="H189" s="187"/>
      <c r="L189" s="187"/>
      <c r="M189" s="187"/>
      <c r="N189" s="187"/>
    </row>
    <row r="190" spans="1:40">
      <c r="A190" s="187" t="s">
        <v>544</v>
      </c>
      <c r="B190" s="68"/>
      <c r="C190" s="202"/>
      <c r="D190" s="187"/>
      <c r="E190" s="187"/>
      <c r="F190" s="187"/>
      <c r="G190" s="187"/>
      <c r="H190" s="187"/>
      <c r="L190" s="187"/>
      <c r="M190" s="187"/>
      <c r="N190" s="187"/>
    </row>
    <row r="191" spans="1:40">
      <c r="A191" s="187" t="s">
        <v>544</v>
      </c>
      <c r="B191" s="68" t="s">
        <v>544</v>
      </c>
      <c r="C191" s="68" t="s">
        <v>544</v>
      </c>
      <c r="D191" s="187"/>
      <c r="E191" s="187"/>
      <c r="F191" s="187"/>
      <c r="G191" s="187"/>
      <c r="H191" s="187"/>
      <c r="L191" s="199"/>
      <c r="M191" s="199"/>
      <c r="N191" s="199"/>
      <c r="R191" s="222" t="s">
        <v>544</v>
      </c>
      <c r="S191" s="222"/>
      <c r="V191" s="77">
        <v>0</v>
      </c>
      <c r="AI191" s="77">
        <v>0</v>
      </c>
      <c r="AM191" s="77">
        <f>SUM(O191:AJ191)</f>
        <v>0</v>
      </c>
      <c r="AN191" s="222" t="e">
        <f>SUM(AM191-B191)</f>
        <v>#VALUE!</v>
      </c>
    </row>
    <row r="192" spans="1:40">
      <c r="A192" s="187" t="s">
        <v>544</v>
      </c>
      <c r="B192" s="68"/>
      <c r="C192" s="68" t="s">
        <v>544</v>
      </c>
      <c r="D192" s="187"/>
      <c r="E192" s="187"/>
      <c r="F192" s="187"/>
      <c r="G192" s="187"/>
      <c r="H192" s="187"/>
      <c r="L192" s="199"/>
      <c r="M192" s="199"/>
      <c r="N192" s="199"/>
      <c r="AM192" s="77" t="s">
        <v>544</v>
      </c>
    </row>
    <row r="193" spans="1:39">
      <c r="A193" s="187" t="s">
        <v>544</v>
      </c>
      <c r="B193" s="68" t="s">
        <v>544</v>
      </c>
      <c r="C193" s="68" t="s">
        <v>544</v>
      </c>
      <c r="D193" s="187"/>
      <c r="E193" s="187"/>
      <c r="F193" s="187"/>
      <c r="G193" s="187"/>
      <c r="H193" s="187"/>
      <c r="L193" s="199"/>
      <c r="M193" s="199"/>
      <c r="N193" s="199"/>
      <c r="V193" s="77">
        <v>0</v>
      </c>
      <c r="AI193" s="77">
        <v>0</v>
      </c>
      <c r="AM193" s="77">
        <f>SUM(O193:AJ193)</f>
        <v>0</v>
      </c>
    </row>
    <row r="194" spans="1:39">
      <c r="A194" s="187" t="s">
        <v>544</v>
      </c>
      <c r="B194" s="68" t="s">
        <v>544</v>
      </c>
      <c r="C194" s="68"/>
      <c r="D194" s="187"/>
      <c r="E194" s="187"/>
      <c r="F194" s="187"/>
      <c r="G194" s="187"/>
      <c r="H194" s="187"/>
      <c r="L194" s="187"/>
      <c r="M194" s="187"/>
      <c r="N194" s="187"/>
      <c r="AM194" s="77" t="s">
        <v>544</v>
      </c>
    </row>
    <row r="195" spans="1:39">
      <c r="A195" s="187" t="s">
        <v>544</v>
      </c>
      <c r="B195" s="68" t="s">
        <v>544</v>
      </c>
      <c r="C195" s="68" t="s">
        <v>544</v>
      </c>
      <c r="D195" s="187"/>
      <c r="E195" s="187"/>
      <c r="F195" s="187"/>
      <c r="G195" s="187"/>
      <c r="H195" s="187"/>
      <c r="L195" s="199"/>
      <c r="M195" s="199"/>
      <c r="N195" s="199"/>
      <c r="V195" s="77">
        <v>0</v>
      </c>
      <c r="AI195" s="77">
        <v>0</v>
      </c>
      <c r="AM195" s="77">
        <f>SUM(O195:AJ195)</f>
        <v>0</v>
      </c>
    </row>
    <row r="196" spans="1:39">
      <c r="A196" s="187" t="s">
        <v>544</v>
      </c>
      <c r="B196" s="68"/>
      <c r="C196" s="202" t="s">
        <v>544</v>
      </c>
      <c r="D196" s="187"/>
      <c r="E196" s="187"/>
      <c r="F196" s="187"/>
      <c r="G196" s="187"/>
      <c r="H196" s="187"/>
      <c r="L196" s="187"/>
      <c r="M196" s="187"/>
      <c r="N196" s="187"/>
    </row>
    <row r="197" spans="1:39">
      <c r="A197" s="200" t="s">
        <v>544</v>
      </c>
      <c r="B197" s="69" t="s">
        <v>544</v>
      </c>
      <c r="C197" s="69" t="s">
        <v>544</v>
      </c>
      <c r="D197" s="200"/>
      <c r="E197" s="200"/>
      <c r="F197" s="200"/>
      <c r="G197" s="187"/>
      <c r="H197" s="187"/>
      <c r="L197" s="203"/>
      <c r="M197" s="203"/>
      <c r="N197" s="203"/>
      <c r="O197" s="203">
        <f t="shared" ref="O197:AL197" si="7">SUM(O191:O195)</f>
        <v>0</v>
      </c>
      <c r="P197" s="203">
        <f t="shared" si="7"/>
        <v>0</v>
      </c>
      <c r="Q197" s="203">
        <f t="shared" si="7"/>
        <v>0</v>
      </c>
      <c r="R197" s="203">
        <f t="shared" si="7"/>
        <v>0</v>
      </c>
      <c r="S197" s="203"/>
      <c r="T197" s="203">
        <f t="shared" si="7"/>
        <v>0</v>
      </c>
      <c r="U197" s="203">
        <f t="shared" si="7"/>
        <v>0</v>
      </c>
      <c r="V197" s="203">
        <f t="shared" si="7"/>
        <v>0</v>
      </c>
      <c r="W197" s="203"/>
      <c r="X197" s="203"/>
      <c r="Y197" s="203"/>
      <c r="Z197" s="203">
        <f t="shared" si="7"/>
        <v>0</v>
      </c>
      <c r="AA197" s="203">
        <f t="shared" si="7"/>
        <v>0</v>
      </c>
      <c r="AB197" s="203"/>
      <c r="AC197" s="203"/>
      <c r="AD197" s="203"/>
      <c r="AE197" s="203"/>
      <c r="AF197" s="203"/>
      <c r="AG197" s="203"/>
      <c r="AH197" s="203"/>
      <c r="AI197" s="203">
        <f>+AI191-AI193+AI195</f>
        <v>0</v>
      </c>
      <c r="AJ197" s="203">
        <f t="shared" si="7"/>
        <v>0</v>
      </c>
      <c r="AK197" s="203">
        <f t="shared" si="7"/>
        <v>0</v>
      </c>
      <c r="AL197" s="203">
        <f t="shared" si="7"/>
        <v>0</v>
      </c>
      <c r="AM197" s="203">
        <f>+AM191-AM193+AM195</f>
        <v>0</v>
      </c>
    </row>
    <row r="198" spans="1:39">
      <c r="A198" s="187"/>
      <c r="B198" s="68"/>
      <c r="C198" s="239"/>
      <c r="D198" s="200"/>
      <c r="E198" s="200"/>
      <c r="F198" s="200"/>
      <c r="G198" s="187"/>
      <c r="H198" s="187"/>
      <c r="L198" s="203"/>
      <c r="M198" s="203"/>
      <c r="N198" s="203"/>
    </row>
    <row r="199" spans="1:39">
      <c r="A199" s="199" t="s">
        <v>544</v>
      </c>
      <c r="B199" s="68"/>
      <c r="C199" s="202"/>
      <c r="D199" s="187"/>
      <c r="E199" s="187"/>
      <c r="F199" s="187"/>
      <c r="G199" s="187"/>
      <c r="H199" s="187"/>
      <c r="L199" s="187"/>
      <c r="M199" s="187"/>
      <c r="N199" s="187"/>
    </row>
    <row r="200" spans="1:39">
      <c r="A200" s="187"/>
      <c r="B200" s="68"/>
      <c r="C200" s="202"/>
      <c r="D200" s="187"/>
      <c r="E200" s="187"/>
      <c r="F200" s="187"/>
      <c r="G200" s="187"/>
      <c r="H200" s="187"/>
      <c r="L200" s="187"/>
      <c r="M200" s="187"/>
      <c r="N200" s="187"/>
    </row>
    <row r="201" spans="1:39">
      <c r="A201" s="193" t="s">
        <v>544</v>
      </c>
      <c r="B201" s="56" t="s">
        <v>544</v>
      </c>
      <c r="C201" s="202" t="s">
        <v>544</v>
      </c>
      <c r="D201" s="187"/>
      <c r="E201" s="187"/>
      <c r="F201" s="187"/>
      <c r="G201" s="187"/>
      <c r="H201" s="187"/>
      <c r="L201" s="199"/>
      <c r="M201" s="199"/>
      <c r="N201" s="199"/>
      <c r="Q201" s="77" t="s">
        <v>544</v>
      </c>
    </row>
    <row r="202" spans="1:39">
      <c r="A202" s="193" t="s">
        <v>544</v>
      </c>
      <c r="B202" s="68"/>
      <c r="C202" s="202"/>
      <c r="D202" s="187"/>
      <c r="E202" s="187"/>
      <c r="F202" s="187"/>
      <c r="G202" s="187"/>
      <c r="H202" s="187"/>
      <c r="L202" s="187"/>
      <c r="M202" s="187"/>
      <c r="N202" s="187"/>
    </row>
    <row r="203" spans="1:39">
      <c r="A203" s="200" t="s">
        <v>544</v>
      </c>
      <c r="B203" s="239" t="s">
        <v>544</v>
      </c>
      <c r="C203" s="239" t="s">
        <v>544</v>
      </c>
      <c r="D203" s="200"/>
      <c r="E203" s="200"/>
      <c r="F203" s="200"/>
      <c r="G203" s="187"/>
      <c r="H203" s="187"/>
      <c r="L203" s="203"/>
      <c r="M203" s="203"/>
      <c r="N203" s="203"/>
      <c r="O203" s="203">
        <f>SUM(O199+O201)</f>
        <v>0</v>
      </c>
      <c r="P203" s="203">
        <f>SUM(P199+P201)</f>
        <v>0</v>
      </c>
      <c r="Q203" s="203">
        <v>0</v>
      </c>
      <c r="R203" s="203">
        <v>0</v>
      </c>
      <c r="S203" s="203"/>
      <c r="T203" s="203">
        <v>0</v>
      </c>
      <c r="U203" s="203">
        <v>0</v>
      </c>
      <c r="V203" s="203">
        <v>0</v>
      </c>
      <c r="W203" s="203"/>
      <c r="X203" s="203"/>
      <c r="Y203" s="203"/>
      <c r="Z203" s="203">
        <v>0</v>
      </c>
      <c r="AA203" s="203">
        <v>0</v>
      </c>
      <c r="AB203" s="203"/>
      <c r="AC203" s="203"/>
      <c r="AD203" s="203"/>
      <c r="AE203" s="203"/>
      <c r="AF203" s="203"/>
      <c r="AG203" s="203"/>
      <c r="AH203" s="203"/>
      <c r="AI203" s="203">
        <v>0</v>
      </c>
      <c r="AJ203" s="203">
        <v>0</v>
      </c>
      <c r="AK203" s="203">
        <v>0</v>
      </c>
      <c r="AL203" s="203">
        <v>0</v>
      </c>
      <c r="AM203" s="203">
        <v>0</v>
      </c>
    </row>
    <row r="204" spans="1:39">
      <c r="B204" s="68"/>
      <c r="C204" s="68"/>
    </row>
    <row r="206" spans="1:39">
      <c r="U206" s="43">
        <v>193</v>
      </c>
      <c r="AM206" s="77">
        <f>SUM(O206:AJ206)</f>
        <v>193</v>
      </c>
    </row>
    <row r="207" spans="1:39">
      <c r="L207" s="222"/>
      <c r="M207" s="222"/>
      <c r="N207" s="222"/>
      <c r="U207" s="77">
        <v>2804000000</v>
      </c>
      <c r="AM207" s="77">
        <f>SUM(O207:AJ207)</f>
        <v>2804000000</v>
      </c>
    </row>
    <row r="208" spans="1:39">
      <c r="L208" s="222"/>
      <c r="M208" s="222"/>
      <c r="N208" s="222"/>
    </row>
    <row r="209" spans="1:40">
      <c r="L209" s="222"/>
      <c r="M209" s="222"/>
      <c r="N209" s="222"/>
      <c r="U209" s="77">
        <v>1080000000</v>
      </c>
      <c r="AM209" s="77">
        <f>SUM(O209:AJ209)</f>
        <v>1080000000</v>
      </c>
    </row>
    <row r="210" spans="1:40">
      <c r="L210" s="222"/>
      <c r="M210" s="222"/>
      <c r="N210" s="222"/>
    </row>
    <row r="211" spans="1:40">
      <c r="D211" s="200"/>
      <c r="E211" s="200"/>
      <c r="F211" s="200"/>
      <c r="G211" s="187"/>
      <c r="H211" s="187"/>
      <c r="L211" s="234"/>
      <c r="M211" s="234"/>
      <c r="N211" s="234"/>
      <c r="O211" s="43"/>
      <c r="P211" s="43"/>
      <c r="Q211" s="43"/>
      <c r="R211" s="43"/>
      <c r="S211" s="43"/>
      <c r="T211" s="43"/>
      <c r="U211" s="43">
        <f>+U207-U209+U206</f>
        <v>1724000193</v>
      </c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>
        <f>SUM(O211:AJ211)</f>
        <v>1724000193</v>
      </c>
    </row>
    <row r="212" spans="1:40">
      <c r="B212" s="68"/>
      <c r="C212" s="68"/>
    </row>
    <row r="213" spans="1:40">
      <c r="B213" s="68"/>
      <c r="C213" s="68"/>
    </row>
    <row r="214" spans="1:40">
      <c r="B214" s="68"/>
      <c r="C214" s="68"/>
    </row>
    <row r="216" spans="1:40">
      <c r="AM216" s="77">
        <f>SUM(O216:AJ216)</f>
        <v>0</v>
      </c>
    </row>
    <row r="217" spans="1:40">
      <c r="L217" s="222"/>
      <c r="M217" s="222"/>
      <c r="N217" s="222"/>
      <c r="O217" s="77">
        <v>181132.38</v>
      </c>
      <c r="R217" s="222">
        <v>208560</v>
      </c>
      <c r="S217" s="222"/>
      <c r="U217" s="77">
        <v>203145</v>
      </c>
      <c r="AI217" s="77">
        <v>400000</v>
      </c>
      <c r="AM217" s="77">
        <f t="shared" ref="AM217:AM223" si="8">SUM(O217:AJ217)</f>
        <v>992837.38</v>
      </c>
      <c r="AN217" s="222">
        <f>SUM(AM217-B179)</f>
        <v>0</v>
      </c>
    </row>
    <row r="218" spans="1:40">
      <c r="AM218" s="77">
        <f t="shared" si="8"/>
        <v>0</v>
      </c>
    </row>
    <row r="219" spans="1:40">
      <c r="D219" s="187"/>
      <c r="E219" s="187"/>
      <c r="F219" s="187"/>
      <c r="G219" s="187"/>
      <c r="H219" s="187"/>
      <c r="L219" s="199"/>
      <c r="M219" s="199"/>
      <c r="N219" s="199"/>
      <c r="AM219" s="77">
        <f t="shared" si="8"/>
        <v>0</v>
      </c>
    </row>
    <row r="220" spans="1:40">
      <c r="D220" s="187"/>
      <c r="E220" s="187"/>
      <c r="F220" s="187"/>
      <c r="G220" s="187"/>
      <c r="H220" s="187"/>
      <c r="L220" s="199"/>
      <c r="M220" s="199"/>
      <c r="N220" s="199"/>
      <c r="AM220" s="77">
        <f t="shared" si="8"/>
        <v>0</v>
      </c>
    </row>
    <row r="221" spans="1:40">
      <c r="D221" s="187"/>
      <c r="E221" s="187"/>
      <c r="F221" s="187"/>
      <c r="G221" s="187"/>
      <c r="H221" s="187"/>
      <c r="L221" s="199"/>
      <c r="M221" s="199"/>
      <c r="N221" s="199"/>
      <c r="O221" s="77">
        <v>-181132.38</v>
      </c>
      <c r="R221" s="77">
        <v>0</v>
      </c>
      <c r="AI221" s="77">
        <v>-400000</v>
      </c>
      <c r="AM221" s="77">
        <f>SUM(O221:AJ221)</f>
        <v>-581132.38</v>
      </c>
    </row>
    <row r="222" spans="1:40">
      <c r="D222" s="187"/>
      <c r="E222" s="187"/>
      <c r="F222" s="187"/>
      <c r="G222" s="187"/>
      <c r="H222" s="187"/>
      <c r="L222" s="199"/>
      <c r="M222" s="199"/>
      <c r="N222" s="199"/>
      <c r="AM222" s="77">
        <f t="shared" si="8"/>
        <v>0</v>
      </c>
    </row>
    <row r="223" spans="1:40">
      <c r="A223" s="187" t="s">
        <v>544</v>
      </c>
      <c r="B223" s="68"/>
      <c r="C223" s="202"/>
      <c r="D223" s="187"/>
      <c r="E223" s="187"/>
      <c r="F223" s="187"/>
      <c r="G223" s="187"/>
      <c r="H223" s="187"/>
      <c r="L223" s="187"/>
      <c r="M223" s="187"/>
      <c r="N223" s="187"/>
      <c r="AM223" s="77">
        <f t="shared" si="8"/>
        <v>0</v>
      </c>
    </row>
    <row r="224" spans="1:40">
      <c r="A224" s="187" t="s">
        <v>544</v>
      </c>
      <c r="B224" s="68"/>
      <c r="C224" s="202" t="s">
        <v>544</v>
      </c>
      <c r="D224" s="187"/>
      <c r="E224" s="187"/>
      <c r="F224" s="187"/>
      <c r="G224" s="187"/>
      <c r="H224" s="187"/>
      <c r="L224" s="199"/>
      <c r="M224" s="199"/>
      <c r="N224" s="199"/>
    </row>
    <row r="225" spans="1:40">
      <c r="D225" s="200"/>
      <c r="E225" s="200"/>
      <c r="F225" s="200"/>
      <c r="G225" s="187"/>
      <c r="H225" s="187"/>
      <c r="L225" s="203"/>
      <c r="M225" s="203"/>
      <c r="N225" s="203"/>
      <c r="O225" s="234">
        <f>SUM(O217:O224)</f>
        <v>0</v>
      </c>
      <c r="P225" s="234">
        <f>SUM(P217:P224)</f>
        <v>0</v>
      </c>
      <c r="Q225" s="234">
        <f>SUM(Q217:Q224)</f>
        <v>0</v>
      </c>
      <c r="R225" s="234">
        <f>SUM(R217:R224)</f>
        <v>208560</v>
      </c>
      <c r="S225" s="234"/>
      <c r="T225" s="43"/>
      <c r="U225" s="234">
        <f t="shared" ref="U225:AM225" si="9">SUM(U217:U224)</f>
        <v>203145</v>
      </c>
      <c r="V225" s="234">
        <f t="shared" si="9"/>
        <v>0</v>
      </c>
      <c r="W225" s="234"/>
      <c r="X225" s="234"/>
      <c r="Y225" s="234"/>
      <c r="Z225" s="234">
        <f t="shared" si="9"/>
        <v>0</v>
      </c>
      <c r="AA225" s="234">
        <f t="shared" si="9"/>
        <v>0</v>
      </c>
      <c r="AB225" s="234"/>
      <c r="AC225" s="234"/>
      <c r="AD225" s="234"/>
      <c r="AE225" s="234"/>
      <c r="AF225" s="234"/>
      <c r="AG225" s="234"/>
      <c r="AH225" s="234"/>
      <c r="AI225" s="234">
        <f t="shared" si="9"/>
        <v>0</v>
      </c>
      <c r="AJ225" s="234">
        <f t="shared" si="9"/>
        <v>0</v>
      </c>
      <c r="AK225" s="234">
        <f t="shared" si="9"/>
        <v>0</v>
      </c>
      <c r="AL225" s="234">
        <f t="shared" si="9"/>
        <v>0</v>
      </c>
      <c r="AM225" s="234">
        <f t="shared" si="9"/>
        <v>411705</v>
      </c>
      <c r="AN225" s="43"/>
    </row>
    <row r="226" spans="1:40">
      <c r="D226" s="200"/>
      <c r="E226" s="200"/>
      <c r="F226" s="200"/>
      <c r="G226" s="187"/>
      <c r="H226" s="187"/>
      <c r="L226" s="203"/>
      <c r="M226" s="203"/>
      <c r="N226" s="203"/>
      <c r="O226" s="222"/>
      <c r="P226" s="222"/>
      <c r="Q226" s="222"/>
      <c r="R226" s="222"/>
      <c r="S226" s="222"/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F226" s="222"/>
      <c r="AG226" s="222"/>
      <c r="AH226" s="222"/>
      <c r="AI226" s="222"/>
      <c r="AJ226" s="222"/>
      <c r="AK226" s="222"/>
      <c r="AL226" s="222"/>
      <c r="AM226" s="222"/>
    </row>
    <row r="227" spans="1:40">
      <c r="D227" s="200"/>
      <c r="E227" s="200"/>
      <c r="F227" s="200"/>
      <c r="G227" s="187"/>
      <c r="H227" s="187"/>
      <c r="L227" s="203"/>
      <c r="M227" s="203"/>
      <c r="N227" s="203"/>
      <c r="O227" s="222"/>
      <c r="P227" s="222"/>
      <c r="Q227" s="222"/>
      <c r="R227" s="222"/>
      <c r="S227" s="222"/>
      <c r="U227" s="222"/>
      <c r="V227" s="234">
        <v>0</v>
      </c>
      <c r="W227" s="234"/>
      <c r="X227" s="234"/>
      <c r="Y227" s="234"/>
      <c r="Z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222"/>
      <c r="AK227" s="222"/>
      <c r="AL227" s="222"/>
      <c r="AM227" s="234">
        <f>SUM(O227:AL227)</f>
        <v>0</v>
      </c>
      <c r="AN227" s="77" t="s">
        <v>387</v>
      </c>
    </row>
    <row r="228" spans="1:40">
      <c r="D228" s="200"/>
      <c r="E228" s="200"/>
      <c r="F228" s="200"/>
      <c r="G228" s="187"/>
      <c r="H228" s="187"/>
      <c r="L228" s="203"/>
      <c r="M228" s="203"/>
      <c r="N228" s="203"/>
      <c r="AI228" s="77" t="s">
        <v>544</v>
      </c>
    </row>
    <row r="229" spans="1:40">
      <c r="D229" s="43"/>
      <c r="E229" s="43"/>
      <c r="F229" s="43"/>
      <c r="G229" s="43"/>
      <c r="H229" s="43"/>
      <c r="L229" s="234"/>
      <c r="M229" s="234"/>
      <c r="N229" s="234"/>
      <c r="O229" s="246">
        <f>+O149+O160+O173+O185+O197+O203+O225</f>
        <v>1401588</v>
      </c>
      <c r="P229" s="246">
        <f>+P149+P160+P173+P185+P197+P203+P225</f>
        <v>105982</v>
      </c>
      <c r="Q229" s="246">
        <f>+Q149+Q160+Q173+Q185+Q197+Q203+Q225</f>
        <v>29464</v>
      </c>
      <c r="R229" s="246">
        <f>+R149+R160+R173+R185+R197+R203+R225</f>
        <v>323362.84999999963</v>
      </c>
      <c r="S229" s="246">
        <f t="shared" ref="S229:AL229" si="10">+S149+S160+S173+S185+S197+S203</f>
        <v>-70</v>
      </c>
      <c r="T229" s="246">
        <f t="shared" si="10"/>
        <v>24121</v>
      </c>
      <c r="U229" s="234">
        <f>+U149+U160+U173+U185+U197+U203+U225+U211</f>
        <v>1726402594.49</v>
      </c>
      <c r="V229" s="234">
        <f t="shared" si="10"/>
        <v>8205131</v>
      </c>
      <c r="W229" s="234"/>
      <c r="X229" s="247">
        <f t="shared" si="10"/>
        <v>0</v>
      </c>
      <c r="Y229" s="247">
        <f t="shared" si="10"/>
        <v>0</v>
      </c>
      <c r="Z229" s="247">
        <f t="shared" si="10"/>
        <v>186142.00000000017</v>
      </c>
      <c r="AA229" s="247">
        <f t="shared" si="10"/>
        <v>566440</v>
      </c>
      <c r="AB229" s="247"/>
      <c r="AC229" s="247"/>
      <c r="AD229" s="247"/>
      <c r="AE229" s="247"/>
      <c r="AF229" s="247"/>
      <c r="AG229" s="247"/>
      <c r="AH229" s="247"/>
      <c r="AI229" s="234">
        <f>+AI149+AI160+AI173+AI185+AI197+AI203+AI225</f>
        <v>3231686.2</v>
      </c>
      <c r="AJ229" s="234">
        <f t="shared" si="10"/>
        <v>2591757</v>
      </c>
      <c r="AK229" s="234">
        <f t="shared" si="10"/>
        <v>261873</v>
      </c>
      <c r="AL229" s="234">
        <f t="shared" si="10"/>
        <v>20000</v>
      </c>
      <c r="AM229" s="234">
        <f>SUM(O229:AL229)</f>
        <v>1743350071.54</v>
      </c>
      <c r="AN229" s="222" t="s">
        <v>544</v>
      </c>
    </row>
    <row r="230" spans="1:40">
      <c r="A230" s="234" t="s">
        <v>544</v>
      </c>
      <c r="B230" s="248" t="s">
        <v>544</v>
      </c>
      <c r="C230" s="249"/>
      <c r="D230" s="43"/>
      <c r="E230" s="43"/>
      <c r="F230" s="43"/>
      <c r="G230" s="43"/>
      <c r="H230" s="43"/>
      <c r="I230" s="69"/>
      <c r="J230" s="69"/>
      <c r="K230" s="69"/>
      <c r="L230" s="234"/>
      <c r="M230" s="234"/>
      <c r="N230" s="234" t="s">
        <v>388</v>
      </c>
      <c r="O230" s="250">
        <v>26575505.41</v>
      </c>
      <c r="P230" s="250">
        <v>34575741</v>
      </c>
      <c r="Q230" s="250">
        <v>3136844.53</v>
      </c>
      <c r="R230" s="250">
        <v>48232205.549999997</v>
      </c>
      <c r="S230" s="250">
        <v>1363526</v>
      </c>
      <c r="T230" s="246">
        <v>4496991.8</v>
      </c>
      <c r="U230" s="251">
        <v>458015024.52999997</v>
      </c>
      <c r="V230" s="251">
        <v>63794416.439999998</v>
      </c>
      <c r="W230" s="251"/>
      <c r="X230" s="251">
        <v>4538020.87</v>
      </c>
      <c r="Y230" s="251">
        <v>13616590</v>
      </c>
      <c r="Z230" s="247">
        <v>3079610.05</v>
      </c>
      <c r="AA230" s="252">
        <v>6050799.8099999996</v>
      </c>
      <c r="AB230" s="252"/>
      <c r="AC230" s="252"/>
      <c r="AD230" s="252"/>
      <c r="AE230" s="252"/>
      <c r="AF230" s="252"/>
      <c r="AG230" s="252"/>
      <c r="AH230" s="252"/>
      <c r="AI230" s="251">
        <v>15210313.82</v>
      </c>
      <c r="AJ230" s="234">
        <v>47124631</v>
      </c>
      <c r="AK230" s="234"/>
      <c r="AL230" s="234"/>
      <c r="AM230" s="234">
        <f>SUM(O230:AL230)</f>
        <v>729810220.80999994</v>
      </c>
      <c r="AN230" s="77" t="s">
        <v>388</v>
      </c>
    </row>
    <row r="231" spans="1:40">
      <c r="A231" s="43"/>
      <c r="B231" s="253" t="s">
        <v>544</v>
      </c>
      <c r="C231" s="43"/>
      <c r="D231" s="43"/>
      <c r="E231" s="43"/>
      <c r="F231" s="43"/>
      <c r="G231" s="43"/>
      <c r="H231" s="43"/>
      <c r="I231" s="234"/>
      <c r="J231" s="234"/>
      <c r="K231" s="234"/>
      <c r="L231" s="234"/>
      <c r="M231" s="234"/>
      <c r="N231" s="234"/>
      <c r="O231" s="254">
        <f t="shared" ref="O231:U231" si="11">+O229+O230</f>
        <v>27977093.41</v>
      </c>
      <c r="P231" s="254">
        <f t="shared" si="11"/>
        <v>34681723</v>
      </c>
      <c r="Q231" s="254">
        <f t="shared" si="11"/>
        <v>3166308.53</v>
      </c>
      <c r="R231" s="254">
        <f t="shared" si="11"/>
        <v>48555568.399999999</v>
      </c>
      <c r="S231" s="255">
        <f>+S229+S230+S227</f>
        <v>1363456</v>
      </c>
      <c r="T231" s="254">
        <f t="shared" si="11"/>
        <v>4521112.8</v>
      </c>
      <c r="U231" s="254">
        <f t="shared" si="11"/>
        <v>2184417619.02</v>
      </c>
      <c r="V231" s="255">
        <f>+V229+V230+V227</f>
        <v>71999547.439999998</v>
      </c>
      <c r="W231" s="255"/>
      <c r="X231" s="255">
        <f>+X229+X230+X227</f>
        <v>4538020.87</v>
      </c>
      <c r="Y231" s="255">
        <f>+Y229+Y230+Y227</f>
        <v>13616590</v>
      </c>
      <c r="Z231" s="255">
        <f t="shared" ref="Z231:AL231" si="12">+Z229+Z230</f>
        <v>3265752.05</v>
      </c>
      <c r="AA231" s="255">
        <f t="shared" si="12"/>
        <v>6617239.8099999996</v>
      </c>
      <c r="AB231" s="255"/>
      <c r="AC231" s="255"/>
      <c r="AD231" s="255"/>
      <c r="AE231" s="255"/>
      <c r="AF231" s="255"/>
      <c r="AG231" s="255"/>
      <c r="AH231" s="255"/>
      <c r="AI231" s="255">
        <f t="shared" si="12"/>
        <v>18442000.02</v>
      </c>
      <c r="AJ231" s="255">
        <f t="shared" si="12"/>
        <v>49716388</v>
      </c>
      <c r="AK231" s="255">
        <f t="shared" si="12"/>
        <v>261873</v>
      </c>
      <c r="AL231" s="255">
        <f t="shared" si="12"/>
        <v>20000</v>
      </c>
      <c r="AM231" s="255">
        <f>+AM229+AM230+AM227</f>
        <v>2473160292.3499999</v>
      </c>
      <c r="AN231" s="222" t="e">
        <f>SUM(AM231-#REF!)</f>
        <v>#REF!</v>
      </c>
    </row>
    <row r="232" spans="1:40">
      <c r="A232" s="43"/>
      <c r="B232" s="43"/>
      <c r="C232" s="43"/>
      <c r="D232" s="43"/>
      <c r="E232" s="43"/>
      <c r="F232" s="43"/>
      <c r="G232" s="43"/>
      <c r="H232" s="43"/>
      <c r="I232" s="234"/>
      <c r="J232" s="234"/>
      <c r="K232" s="234"/>
      <c r="L232" s="234"/>
      <c r="M232" s="234"/>
      <c r="N232" s="234"/>
      <c r="O232" s="77" t="s">
        <v>18</v>
      </c>
      <c r="P232" s="77" t="s">
        <v>535</v>
      </c>
      <c r="Q232" s="77" t="s">
        <v>23</v>
      </c>
      <c r="R232" s="77" t="s">
        <v>389</v>
      </c>
      <c r="S232" s="77" t="s">
        <v>561</v>
      </c>
      <c r="T232" s="77" t="s">
        <v>437</v>
      </c>
      <c r="U232" s="77" t="s">
        <v>632</v>
      </c>
      <c r="V232" s="77" t="s">
        <v>22</v>
      </c>
      <c r="X232" s="77" t="s">
        <v>390</v>
      </c>
      <c r="Y232" s="77" t="s">
        <v>560</v>
      </c>
      <c r="Z232" s="77" t="s">
        <v>20</v>
      </c>
      <c r="AA232" s="77" t="s">
        <v>371</v>
      </c>
      <c r="AI232" s="77" t="s">
        <v>636</v>
      </c>
      <c r="AJ232" s="77" t="s">
        <v>630</v>
      </c>
      <c r="AK232" s="77" t="s">
        <v>631</v>
      </c>
      <c r="AL232" s="77" t="s">
        <v>68</v>
      </c>
      <c r="AM232" s="77" t="s">
        <v>439</v>
      </c>
    </row>
    <row r="233" spans="1:40">
      <c r="A233" s="43"/>
      <c r="B233" s="43"/>
      <c r="C233" s="43"/>
      <c r="D233" s="43"/>
      <c r="E233" s="43"/>
      <c r="F233" s="43"/>
      <c r="G233" s="43"/>
      <c r="H233" s="43"/>
      <c r="I233" s="234"/>
      <c r="J233" s="234"/>
      <c r="K233" s="234"/>
      <c r="L233" s="234"/>
      <c r="M233" s="234"/>
      <c r="N233" s="234"/>
      <c r="O233" s="234" t="s">
        <v>391</v>
      </c>
      <c r="P233" s="234" t="s">
        <v>391</v>
      </c>
      <c r="Q233" s="234" t="s">
        <v>391</v>
      </c>
      <c r="R233" s="234" t="s">
        <v>391</v>
      </c>
      <c r="S233" s="234"/>
      <c r="T233" s="234" t="s">
        <v>391</v>
      </c>
      <c r="U233" s="234" t="s">
        <v>391</v>
      </c>
      <c r="V233" s="234"/>
      <c r="W233" s="234"/>
      <c r="X233" s="234"/>
      <c r="Y233" s="234"/>
      <c r="Z233" s="222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22" t="s">
        <v>392</v>
      </c>
      <c r="AK233" s="234"/>
      <c r="AL233" s="234"/>
      <c r="AM233" s="234"/>
    </row>
    <row r="234" spans="1:40">
      <c r="A234" s="43"/>
      <c r="B234" s="43"/>
      <c r="C234" s="43"/>
      <c r="D234" s="43"/>
      <c r="E234" s="43"/>
      <c r="F234" s="43"/>
      <c r="G234" s="43"/>
      <c r="H234" s="43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22" t="s">
        <v>544</v>
      </c>
    </row>
    <row r="235" spans="1:40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U235" s="222" t="s">
        <v>544</v>
      </c>
      <c r="V235" s="222" t="s">
        <v>544</v>
      </c>
      <c r="W235" s="222"/>
      <c r="X235" s="222"/>
      <c r="Y235" s="222"/>
    </row>
    <row r="236" spans="1:40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V236" s="222" t="s">
        <v>544</v>
      </c>
      <c r="W236" s="222"/>
      <c r="X236" s="222"/>
      <c r="Y236" s="222"/>
    </row>
    <row r="237" spans="1:40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</row>
    <row r="238" spans="1:40">
      <c r="A238" s="256" t="s">
        <v>88</v>
      </c>
      <c r="I238" s="257" t="s">
        <v>917</v>
      </c>
      <c r="J238" s="257"/>
      <c r="L238" s="258"/>
      <c r="M238" s="258"/>
      <c r="N238" s="258"/>
    </row>
    <row r="239" spans="1:40">
      <c r="A239" s="256"/>
      <c r="I239" s="256"/>
      <c r="J239" s="256"/>
      <c r="L239" s="258"/>
      <c r="M239" s="258"/>
      <c r="N239" s="258"/>
    </row>
    <row r="240" spans="1:40">
      <c r="A240" s="9" t="s">
        <v>393</v>
      </c>
    </row>
    <row r="241" spans="1:16">
      <c r="A241" s="9"/>
    </row>
    <row r="242" spans="1:16">
      <c r="A242" s="215" t="s">
        <v>19</v>
      </c>
      <c r="B242" s="259" t="s">
        <v>419</v>
      </c>
      <c r="C242" s="260" t="s">
        <v>544</v>
      </c>
      <c r="D242" s="260" t="s">
        <v>544</v>
      </c>
      <c r="G242" s="259" t="s">
        <v>103</v>
      </c>
      <c r="H242" s="9"/>
      <c r="I242" s="259" t="s">
        <v>105</v>
      </c>
      <c r="J242" s="259" t="s">
        <v>319</v>
      </c>
      <c r="K242" s="259" t="s">
        <v>439</v>
      </c>
      <c r="M242" s="217"/>
      <c r="N242" s="217"/>
    </row>
    <row r="243" spans="1:16">
      <c r="A243" s="215" t="s">
        <v>544</v>
      </c>
      <c r="B243" s="194" t="s">
        <v>3</v>
      </c>
      <c r="C243" s="261" t="s">
        <v>544</v>
      </c>
      <c r="D243" s="261" t="s">
        <v>544</v>
      </c>
      <c r="G243" s="259" t="s">
        <v>104</v>
      </c>
      <c r="I243" s="311" t="s">
        <v>106</v>
      </c>
      <c r="J243" s="259" t="s">
        <v>650</v>
      </c>
      <c r="K243" s="259" t="s">
        <v>404</v>
      </c>
      <c r="M243" s="217"/>
      <c r="N243" s="217"/>
    </row>
    <row r="244" spans="1:16">
      <c r="A244" s="230"/>
      <c r="B244" s="259" t="s">
        <v>89</v>
      </c>
      <c r="C244" s="259" t="s">
        <v>544</v>
      </c>
      <c r="D244" s="259" t="s">
        <v>544</v>
      </c>
      <c r="G244" s="259" t="s">
        <v>5</v>
      </c>
      <c r="I244" s="259" t="s">
        <v>5</v>
      </c>
      <c r="J244" s="259"/>
      <c r="K244" s="194" t="s">
        <v>107</v>
      </c>
      <c r="M244" s="217"/>
      <c r="N244" s="217"/>
    </row>
    <row r="245" spans="1:16">
      <c r="M245" s="77" t="s">
        <v>544</v>
      </c>
    </row>
    <row r="246" spans="1:16">
      <c r="A246" s="262" t="s">
        <v>394</v>
      </c>
      <c r="B246" s="263">
        <v>554033</v>
      </c>
      <c r="C246" s="263">
        <v>0</v>
      </c>
      <c r="D246" s="263">
        <v>0</v>
      </c>
      <c r="G246" s="68">
        <v>1154920</v>
      </c>
      <c r="H246" s="68">
        <v>0</v>
      </c>
      <c r="I246" s="68">
        <v>1391000</v>
      </c>
      <c r="J246" s="68"/>
      <c r="K246" s="264">
        <f t="shared" ref="K246:K253" si="13">SUM(B246+C246+I246-G246)</f>
        <v>790113</v>
      </c>
      <c r="M246" s="222" t="s">
        <v>544</v>
      </c>
      <c r="N246" s="222"/>
      <c r="P246" s="222" t="s">
        <v>544</v>
      </c>
    </row>
    <row r="247" spans="1:16">
      <c r="A247" s="262" t="s">
        <v>395</v>
      </c>
      <c r="B247" s="263">
        <v>328350</v>
      </c>
      <c r="C247" s="263">
        <v>0</v>
      </c>
      <c r="D247" s="263">
        <v>0</v>
      </c>
      <c r="G247" s="68">
        <v>0</v>
      </c>
      <c r="H247" s="68">
        <v>0</v>
      </c>
      <c r="I247" s="68">
        <v>15000</v>
      </c>
      <c r="J247" s="68"/>
      <c r="K247" s="264">
        <f t="shared" si="13"/>
        <v>343350</v>
      </c>
      <c r="M247" s="222" t="s">
        <v>544</v>
      </c>
      <c r="N247" s="222"/>
    </row>
    <row r="248" spans="1:16">
      <c r="A248" s="262" t="s">
        <v>396</v>
      </c>
      <c r="B248" s="263">
        <v>525750</v>
      </c>
      <c r="C248" s="263">
        <v>0</v>
      </c>
      <c r="D248" s="263">
        <v>0</v>
      </c>
      <c r="G248" s="68">
        <v>311000</v>
      </c>
      <c r="H248" s="68">
        <v>0</v>
      </c>
      <c r="I248" s="68">
        <v>1150000</v>
      </c>
      <c r="J248" s="68"/>
      <c r="K248" s="265">
        <f t="shared" si="13"/>
        <v>1364750</v>
      </c>
      <c r="M248" s="222" t="s">
        <v>544</v>
      </c>
      <c r="N248" s="222"/>
    </row>
    <row r="249" spans="1:16">
      <c r="A249" s="262" t="s">
        <v>397</v>
      </c>
      <c r="B249" s="263">
        <v>160517</v>
      </c>
      <c r="C249" s="263">
        <v>0</v>
      </c>
      <c r="D249" s="263">
        <v>0</v>
      </c>
      <c r="G249" s="68">
        <v>57500</v>
      </c>
      <c r="H249" s="68">
        <v>0</v>
      </c>
      <c r="I249" s="68">
        <v>197000</v>
      </c>
      <c r="J249" s="68"/>
      <c r="K249" s="264">
        <f t="shared" si="13"/>
        <v>300017</v>
      </c>
      <c r="M249" s="222" t="s">
        <v>544</v>
      </c>
      <c r="N249" s="222"/>
    </row>
    <row r="250" spans="1:16">
      <c r="A250" s="262" t="s">
        <v>398</v>
      </c>
      <c r="B250" s="263">
        <v>183116</v>
      </c>
      <c r="C250" s="263">
        <v>0</v>
      </c>
      <c r="D250" s="263">
        <v>0</v>
      </c>
      <c r="G250" s="68">
        <v>177000</v>
      </c>
      <c r="H250" s="68">
        <v>0</v>
      </c>
      <c r="I250" s="68">
        <v>184800</v>
      </c>
      <c r="J250" s="68"/>
      <c r="K250" s="264">
        <f t="shared" si="13"/>
        <v>190916</v>
      </c>
      <c r="M250" s="222" t="s">
        <v>544</v>
      </c>
      <c r="N250" s="222"/>
    </row>
    <row r="251" spans="1:16">
      <c r="A251" s="262" t="s">
        <v>399</v>
      </c>
      <c r="B251" s="263">
        <v>1171280</v>
      </c>
      <c r="C251" s="263">
        <v>0</v>
      </c>
      <c r="D251" s="263">
        <v>0</v>
      </c>
      <c r="G251" s="68">
        <v>775000</v>
      </c>
      <c r="H251" s="68">
        <v>0</v>
      </c>
      <c r="I251" s="68">
        <v>0</v>
      </c>
      <c r="J251" s="68">
        <v>-5718</v>
      </c>
      <c r="K251" s="264">
        <f>SUM(B251+C251+I251-G251+J251)</f>
        <v>390562</v>
      </c>
      <c r="M251" s="222" t="s">
        <v>544</v>
      </c>
      <c r="N251" s="222"/>
    </row>
    <row r="252" spans="1:16">
      <c r="A252" s="262" t="s">
        <v>257</v>
      </c>
      <c r="B252" s="263">
        <v>12573166.5</v>
      </c>
      <c r="C252" s="263">
        <v>0</v>
      </c>
      <c r="D252" s="263">
        <v>0</v>
      </c>
      <c r="G252" s="68">
        <v>12429000</v>
      </c>
      <c r="H252" s="68">
        <v>0</v>
      </c>
      <c r="I252" s="68">
        <v>1310000</v>
      </c>
      <c r="J252" s="68"/>
      <c r="K252" s="264">
        <f t="shared" si="13"/>
        <v>1454166.5</v>
      </c>
      <c r="M252" s="222" t="s">
        <v>544</v>
      </c>
      <c r="N252" s="222"/>
    </row>
    <row r="253" spans="1:16">
      <c r="A253" s="262" t="s">
        <v>651</v>
      </c>
      <c r="B253" s="263">
        <v>0</v>
      </c>
      <c r="C253" s="263"/>
      <c r="D253" s="263"/>
      <c r="G253" s="68"/>
      <c r="H253" s="68"/>
      <c r="I253" s="68">
        <v>190000</v>
      </c>
      <c r="J253" s="68"/>
      <c r="K253" s="264">
        <f t="shared" si="13"/>
        <v>190000</v>
      </c>
      <c r="M253" s="222"/>
      <c r="N253" s="222"/>
    </row>
    <row r="254" spans="1:16">
      <c r="A254" s="262" t="s">
        <v>618</v>
      </c>
      <c r="B254" s="263">
        <v>336250</v>
      </c>
      <c r="C254" s="263">
        <v>0</v>
      </c>
      <c r="D254" s="263">
        <v>0</v>
      </c>
      <c r="G254" s="68">
        <v>621500</v>
      </c>
      <c r="H254" s="68">
        <v>0</v>
      </c>
      <c r="I254" s="68">
        <v>1035000</v>
      </c>
      <c r="J254" s="68">
        <v>-23750</v>
      </c>
      <c r="K254" s="264">
        <f>SUM(B254+C254+I254-G254+J254)</f>
        <v>726000</v>
      </c>
      <c r="M254" s="222"/>
      <c r="N254" s="222"/>
    </row>
    <row r="255" spans="1:16">
      <c r="A255" s="262" t="s">
        <v>359</v>
      </c>
      <c r="B255" s="263">
        <v>68500</v>
      </c>
      <c r="C255" s="263">
        <v>0</v>
      </c>
      <c r="D255" s="263">
        <v>0</v>
      </c>
      <c r="G255" s="68">
        <v>75000</v>
      </c>
      <c r="H255" s="68">
        <v>0</v>
      </c>
      <c r="I255" s="68">
        <v>111000</v>
      </c>
      <c r="J255" s="68"/>
      <c r="K255" s="265">
        <f>SUM(B255+C255+I255-G255)</f>
        <v>104500</v>
      </c>
      <c r="M255" s="222"/>
      <c r="N255" s="222"/>
    </row>
    <row r="256" spans="1:16">
      <c r="A256" s="262" t="s">
        <v>400</v>
      </c>
      <c r="B256" s="263">
        <v>2496350</v>
      </c>
      <c r="C256" s="263">
        <v>0</v>
      </c>
      <c r="D256" s="263">
        <v>0</v>
      </c>
      <c r="G256" s="68">
        <v>2175000</v>
      </c>
      <c r="H256" s="68">
        <v>0</v>
      </c>
      <c r="I256" s="68">
        <v>670000</v>
      </c>
      <c r="J256" s="68"/>
      <c r="K256" s="264">
        <f>SUM(B256+C256+I256-G256)</f>
        <v>991350</v>
      </c>
      <c r="M256" s="222" t="s">
        <v>544</v>
      </c>
      <c r="N256" s="222"/>
    </row>
    <row r="257" spans="1:17">
      <c r="A257" s="262" t="s">
        <v>468</v>
      </c>
      <c r="B257" s="263">
        <v>2061293</v>
      </c>
      <c r="C257" s="263">
        <v>0</v>
      </c>
      <c r="D257" s="263">
        <v>0</v>
      </c>
      <c r="G257" s="68">
        <v>1806378</v>
      </c>
      <c r="H257" s="68">
        <v>0</v>
      </c>
      <c r="I257" s="68">
        <v>2172728</v>
      </c>
      <c r="J257" s="68"/>
      <c r="K257" s="265">
        <f>SUM(B257+C257+I257-G257)</f>
        <v>2427643</v>
      </c>
      <c r="M257" s="222"/>
      <c r="N257" s="222"/>
    </row>
    <row r="258" spans="1:17">
      <c r="B258" s="68"/>
      <c r="C258" s="68">
        <v>0</v>
      </c>
      <c r="D258" s="68">
        <v>0</v>
      </c>
      <c r="G258" s="68"/>
      <c r="I258" s="68"/>
      <c r="J258" s="68"/>
      <c r="K258" s="68"/>
      <c r="P258" s="266" t="s">
        <v>544</v>
      </c>
    </row>
    <row r="259" spans="1:17">
      <c r="A259" s="256" t="s">
        <v>401</v>
      </c>
      <c r="B259" s="267">
        <f>SUM(B246:B258)</f>
        <v>20458605.5</v>
      </c>
      <c r="C259" s="267">
        <f>SUM(C246:C258)</f>
        <v>0</v>
      </c>
      <c r="D259" s="267">
        <f>SUM(D246:D258)</f>
        <v>0</v>
      </c>
      <c r="G259" s="267">
        <f>SUM(G246:G258)</f>
        <v>19582298</v>
      </c>
      <c r="H259" s="68">
        <v>0</v>
      </c>
      <c r="I259" s="267">
        <f>SUM(I246:I258)</f>
        <v>8426528</v>
      </c>
      <c r="J259" s="267">
        <f>SUM(J246:J258)</f>
        <v>-29468</v>
      </c>
      <c r="K259" s="267">
        <f>SUM(K246:K258)</f>
        <v>9273367.5</v>
      </c>
      <c r="M259" s="268"/>
      <c r="N259" s="268"/>
      <c r="Q259" s="269" t="s">
        <v>544</v>
      </c>
    </row>
    <row r="260" spans="1:17">
      <c r="A260" s="187"/>
      <c r="B260" s="202"/>
      <c r="C260" s="202"/>
      <c r="D260" s="202"/>
      <c r="F260" s="202"/>
      <c r="G260" s="202"/>
      <c r="H260" s="202"/>
      <c r="I260" s="202"/>
      <c r="J260" s="202"/>
      <c r="K260" s="202"/>
      <c r="M260" s="187"/>
      <c r="N260" s="187"/>
    </row>
    <row r="261" spans="1:17">
      <c r="A261" s="215" t="s">
        <v>402</v>
      </c>
      <c r="B261" s="68"/>
      <c r="C261" s="68"/>
      <c r="D261" s="68"/>
      <c r="F261" s="68"/>
      <c r="G261" s="68"/>
      <c r="H261" s="68"/>
      <c r="I261" s="68"/>
      <c r="J261" s="68"/>
      <c r="K261" s="68"/>
    </row>
    <row r="262" spans="1:17">
      <c r="A262" s="270"/>
      <c r="B262" s="68"/>
      <c r="C262" s="68"/>
      <c r="D262" s="68"/>
      <c r="F262" s="68"/>
      <c r="G262" s="68"/>
      <c r="H262" s="68"/>
      <c r="I262" s="68"/>
      <c r="J262" s="68"/>
      <c r="K262" s="68"/>
    </row>
    <row r="263" spans="1:17">
      <c r="A263" s="215" t="s">
        <v>19</v>
      </c>
      <c r="B263" s="260" t="s">
        <v>419</v>
      </c>
      <c r="C263" s="260" t="s">
        <v>562</v>
      </c>
      <c r="D263" s="260"/>
      <c r="E263" s="194" t="s">
        <v>108</v>
      </c>
      <c r="F263" s="260" t="s">
        <v>544</v>
      </c>
      <c r="G263" s="260" t="s">
        <v>105</v>
      </c>
      <c r="H263" s="260" t="s">
        <v>110</v>
      </c>
      <c r="I263" s="260" t="s">
        <v>105</v>
      </c>
      <c r="J263" s="260"/>
      <c r="K263" s="260" t="s">
        <v>439</v>
      </c>
      <c r="M263" s="217"/>
      <c r="N263" s="217"/>
    </row>
    <row r="264" spans="1:17">
      <c r="A264" s="270" t="s">
        <v>544</v>
      </c>
      <c r="B264" s="261" t="s">
        <v>3</v>
      </c>
      <c r="C264" s="261" t="s">
        <v>101</v>
      </c>
      <c r="D264" s="11" t="s">
        <v>101</v>
      </c>
      <c r="E264" s="194" t="s">
        <v>645</v>
      </c>
      <c r="F264" s="261" t="s">
        <v>544</v>
      </c>
      <c r="G264" s="271" t="s">
        <v>109</v>
      </c>
      <c r="H264" s="271" t="s">
        <v>322</v>
      </c>
      <c r="I264" s="260" t="s">
        <v>106</v>
      </c>
      <c r="J264" s="260"/>
      <c r="K264" s="260" t="s">
        <v>404</v>
      </c>
      <c r="M264" s="217"/>
      <c r="N264" s="217"/>
    </row>
    <row r="265" spans="1:17">
      <c r="A265" s="230"/>
      <c r="B265" s="260" t="s">
        <v>89</v>
      </c>
      <c r="C265" s="260" t="s">
        <v>560</v>
      </c>
      <c r="D265" s="260" t="s">
        <v>649</v>
      </c>
      <c r="E265" s="194" t="s">
        <v>646</v>
      </c>
      <c r="F265" s="260" t="s">
        <v>544</v>
      </c>
      <c r="G265" s="260" t="s">
        <v>440</v>
      </c>
      <c r="H265" s="260" t="s">
        <v>302</v>
      </c>
      <c r="I265" s="260" t="s">
        <v>5</v>
      </c>
      <c r="J265" s="260"/>
      <c r="K265" s="261" t="s">
        <v>90</v>
      </c>
      <c r="M265" s="217"/>
      <c r="N265" s="217"/>
    </row>
    <row r="266" spans="1:17">
      <c r="B266" s="68"/>
      <c r="C266" s="68"/>
      <c r="D266" s="68"/>
      <c r="F266" s="68"/>
      <c r="G266" s="68"/>
      <c r="H266" s="68"/>
      <c r="I266" s="68"/>
      <c r="J266" s="68"/>
      <c r="K266" s="68"/>
    </row>
    <row r="267" spans="1:17">
      <c r="A267" s="262" t="s">
        <v>395</v>
      </c>
      <c r="B267" s="263">
        <v>734683</v>
      </c>
      <c r="C267" s="263">
        <v>0</v>
      </c>
      <c r="D267" s="263">
        <v>0</v>
      </c>
      <c r="F267" s="263">
        <v>0</v>
      </c>
      <c r="G267" s="272">
        <v>119000</v>
      </c>
      <c r="H267" s="272">
        <v>-125683</v>
      </c>
      <c r="I267" s="272">
        <v>242400</v>
      </c>
      <c r="J267" s="272"/>
      <c r="K267" s="264">
        <f>SUM(B267+C267+D267+I267-G267+H267)</f>
        <v>732400</v>
      </c>
      <c r="M267" s="273" t="s">
        <v>544</v>
      </c>
      <c r="N267" s="273"/>
      <c r="P267" s="274"/>
    </row>
    <row r="268" spans="1:17">
      <c r="A268" s="262" t="s">
        <v>405</v>
      </c>
      <c r="B268" s="263">
        <v>1149033</v>
      </c>
      <c r="C268" s="263">
        <v>0</v>
      </c>
      <c r="D268" s="263">
        <v>0</v>
      </c>
      <c r="F268" s="263">
        <v>0</v>
      </c>
      <c r="G268" s="272">
        <v>179000</v>
      </c>
      <c r="H268" s="272">
        <v>0</v>
      </c>
      <c r="I268" s="272">
        <v>41000</v>
      </c>
      <c r="J268" s="272"/>
      <c r="K268" s="264">
        <f>SUM(B268+C268+I268-G268)</f>
        <v>1011033</v>
      </c>
      <c r="M268" s="273"/>
      <c r="N268" s="273"/>
      <c r="P268" s="274"/>
    </row>
    <row r="269" spans="1:17">
      <c r="A269" s="262" t="s">
        <v>396</v>
      </c>
      <c r="B269" s="263">
        <v>796188</v>
      </c>
      <c r="C269" s="263">
        <v>0</v>
      </c>
      <c r="D269" s="263">
        <v>0</v>
      </c>
      <c r="F269" s="263">
        <v>0</v>
      </c>
      <c r="G269" s="272">
        <v>83500</v>
      </c>
      <c r="H269" s="272">
        <v>0</v>
      </c>
      <c r="I269" s="272">
        <v>153000</v>
      </c>
      <c r="J269" s="272"/>
      <c r="K269" s="265">
        <f>SUM(B269+C269+I269-G269)</f>
        <v>865688</v>
      </c>
      <c r="M269" s="273"/>
      <c r="N269" s="273"/>
      <c r="P269" s="274"/>
    </row>
    <row r="270" spans="1:17">
      <c r="A270" s="262" t="s">
        <v>397</v>
      </c>
      <c r="B270" s="263">
        <v>358100</v>
      </c>
      <c r="C270" s="263">
        <v>0</v>
      </c>
      <c r="D270" s="263">
        <v>0</v>
      </c>
      <c r="F270" s="263">
        <v>0</v>
      </c>
      <c r="G270" s="272">
        <v>19000</v>
      </c>
      <c r="H270" s="272">
        <v>-21700</v>
      </c>
      <c r="I270" s="272">
        <v>94300</v>
      </c>
      <c r="J270" s="272"/>
      <c r="K270" s="264">
        <f>SUM(B270+C270+D270+I270-G270+H270)</f>
        <v>411700</v>
      </c>
      <c r="M270" s="273"/>
      <c r="N270" s="273"/>
      <c r="P270" s="274"/>
    </row>
    <row r="271" spans="1:17">
      <c r="A271" s="262" t="s">
        <v>394</v>
      </c>
      <c r="B271" s="263">
        <v>1020083</v>
      </c>
      <c r="C271" s="263">
        <v>0</v>
      </c>
      <c r="D271" s="263">
        <v>0</v>
      </c>
      <c r="F271" s="263">
        <v>0</v>
      </c>
      <c r="G271" s="272">
        <v>326000</v>
      </c>
      <c r="H271" s="272">
        <v>0</v>
      </c>
      <c r="I271" s="272">
        <v>466000</v>
      </c>
      <c r="J271" s="272"/>
      <c r="K271" s="264">
        <f>SUM(B271+C271+I271-G271)</f>
        <v>1160083</v>
      </c>
      <c r="M271" s="273" t="s">
        <v>544</v>
      </c>
      <c r="N271" s="273"/>
      <c r="P271" s="274"/>
    </row>
    <row r="272" spans="1:17">
      <c r="A272" s="262" t="s">
        <v>398</v>
      </c>
      <c r="B272" s="263">
        <v>762822</v>
      </c>
      <c r="C272" s="263">
        <v>0</v>
      </c>
      <c r="D272" s="263">
        <v>0</v>
      </c>
      <c r="E272" s="222">
        <v>39118</v>
      </c>
      <c r="F272" s="263">
        <v>0</v>
      </c>
      <c r="G272" s="272">
        <v>106700</v>
      </c>
      <c r="H272" s="272">
        <v>-151640</v>
      </c>
      <c r="I272" s="272">
        <v>171700</v>
      </c>
      <c r="J272" s="272"/>
      <c r="K272" s="264">
        <f>SUM(B272+C272+H272+I272-G272+E272)</f>
        <v>715300</v>
      </c>
      <c r="M272" s="273" t="s">
        <v>544</v>
      </c>
      <c r="N272" s="273"/>
      <c r="P272" s="274"/>
    </row>
    <row r="273" spans="1:18">
      <c r="A273" s="262" t="s">
        <v>399</v>
      </c>
      <c r="B273" s="263">
        <v>1459839</v>
      </c>
      <c r="C273" s="263">
        <v>0</v>
      </c>
      <c r="D273" s="263">
        <v>0</v>
      </c>
      <c r="F273" s="263">
        <v>0</v>
      </c>
      <c r="G273" s="272">
        <v>57000</v>
      </c>
      <c r="H273" s="272">
        <v>0</v>
      </c>
      <c r="I273" s="272">
        <v>207000</v>
      </c>
      <c r="J273" s="272"/>
      <c r="K273" s="264">
        <f>SUM(B273+C273+I273-G273)</f>
        <v>1609839</v>
      </c>
      <c r="M273" s="273" t="s">
        <v>544</v>
      </c>
      <c r="N273" s="273"/>
      <c r="P273" s="274"/>
    </row>
    <row r="274" spans="1:18">
      <c r="A274" s="262" t="s">
        <v>400</v>
      </c>
      <c r="B274" s="263">
        <v>3522600</v>
      </c>
      <c r="C274" s="263">
        <v>0</v>
      </c>
      <c r="D274" s="263">
        <v>0</v>
      </c>
      <c r="F274" s="263">
        <v>0</v>
      </c>
      <c r="G274" s="272">
        <v>48000</v>
      </c>
      <c r="H274" s="272">
        <v>0</v>
      </c>
      <c r="I274" s="272">
        <v>378000</v>
      </c>
      <c r="J274" s="272"/>
      <c r="K274" s="264">
        <f>SUM(B274+C274+F274+I274-G274)</f>
        <v>3852600</v>
      </c>
      <c r="M274" s="273"/>
      <c r="N274" s="273"/>
      <c r="P274" s="274"/>
    </row>
    <row r="275" spans="1:18">
      <c r="A275" s="262" t="s">
        <v>618</v>
      </c>
      <c r="B275" s="263">
        <v>671150</v>
      </c>
      <c r="C275" s="263">
        <v>0</v>
      </c>
      <c r="D275" s="263">
        <v>-3100</v>
      </c>
      <c r="F275" s="263">
        <v>0</v>
      </c>
      <c r="G275" s="272">
        <v>40000</v>
      </c>
      <c r="H275" s="272">
        <v>-397150</v>
      </c>
      <c r="I275" s="272">
        <v>149100</v>
      </c>
      <c r="J275" s="272"/>
      <c r="K275" s="264">
        <f>SUM(B275+C275+H275+I275-G275+E275+D275)</f>
        <v>380000</v>
      </c>
      <c r="M275" s="273"/>
      <c r="N275" s="273"/>
      <c r="P275" s="274"/>
    </row>
    <row r="276" spans="1:18">
      <c r="A276" s="262" t="s">
        <v>359</v>
      </c>
      <c r="B276" s="263">
        <v>218000</v>
      </c>
      <c r="C276" s="263">
        <v>0</v>
      </c>
      <c r="D276" s="263">
        <v>0</v>
      </c>
      <c r="F276" s="263">
        <v>0</v>
      </c>
      <c r="G276" s="272">
        <v>116000</v>
      </c>
      <c r="H276" s="272">
        <v>0</v>
      </c>
      <c r="I276" s="272">
        <v>577000</v>
      </c>
      <c r="J276" s="272"/>
      <c r="K276" s="265">
        <f>SUM(B276+C276+F276+I276-G276)</f>
        <v>679000</v>
      </c>
      <c r="M276" s="273"/>
      <c r="N276" s="273"/>
      <c r="P276" s="274"/>
    </row>
    <row r="277" spans="1:18">
      <c r="A277" s="262" t="s">
        <v>468</v>
      </c>
      <c r="B277" s="263">
        <v>769000</v>
      </c>
      <c r="C277" s="263">
        <v>0</v>
      </c>
      <c r="D277" s="263">
        <v>0</v>
      </c>
      <c r="F277" s="263">
        <v>0</v>
      </c>
      <c r="G277" s="272">
        <v>133000</v>
      </c>
      <c r="H277" s="272">
        <v>0</v>
      </c>
      <c r="I277" s="272">
        <v>263000</v>
      </c>
      <c r="J277" s="272"/>
      <c r="K277" s="265">
        <f>SUM(B277+C277+I277-G277)</f>
        <v>899000</v>
      </c>
      <c r="M277" s="273"/>
      <c r="N277" s="273"/>
      <c r="P277" s="274"/>
    </row>
    <row r="278" spans="1:18">
      <c r="B278" s="68"/>
      <c r="C278" s="68"/>
      <c r="D278" s="68"/>
      <c r="F278" s="68"/>
      <c r="G278" s="68"/>
      <c r="H278" s="68"/>
      <c r="I278" s="68"/>
      <c r="J278" s="68"/>
      <c r="K278" s="68"/>
      <c r="P278" s="266"/>
    </row>
    <row r="279" spans="1:18">
      <c r="A279" s="256" t="s">
        <v>401</v>
      </c>
      <c r="B279" s="267">
        <f t="shared" ref="B279:I279" si="14">SUM(B267:B278)</f>
        <v>11461498</v>
      </c>
      <c r="C279" s="267">
        <f t="shared" si="14"/>
        <v>0</v>
      </c>
      <c r="D279" s="267">
        <f t="shared" si="14"/>
        <v>-3100</v>
      </c>
      <c r="E279" s="267">
        <f t="shared" si="14"/>
        <v>39118</v>
      </c>
      <c r="F279" s="267">
        <f t="shared" si="14"/>
        <v>0</v>
      </c>
      <c r="G279" s="267">
        <f t="shared" si="14"/>
        <v>1227200</v>
      </c>
      <c r="H279" s="267">
        <f t="shared" si="14"/>
        <v>-696173</v>
      </c>
      <c r="I279" s="267">
        <f t="shared" si="14"/>
        <v>2742500</v>
      </c>
      <c r="J279" s="267"/>
      <c r="K279" s="267">
        <f>SUM(K267:K278)</f>
        <v>12316643</v>
      </c>
      <c r="M279" s="268"/>
      <c r="N279" s="268"/>
      <c r="Q279" s="269" t="s">
        <v>544</v>
      </c>
    </row>
    <row r="280" spans="1:18">
      <c r="A280" s="200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M280" s="187"/>
      <c r="N280" s="187"/>
    </row>
    <row r="281" spans="1:18">
      <c r="A281" s="215" t="s">
        <v>406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</row>
    <row r="282" spans="1:18">
      <c r="A282" s="43"/>
      <c r="B282" s="68"/>
      <c r="C282" s="68"/>
      <c r="D282" s="68"/>
      <c r="E282" s="68"/>
      <c r="F282" s="68"/>
      <c r="G282" s="68"/>
      <c r="H282" s="68"/>
      <c r="I282" s="68"/>
      <c r="J282" s="68"/>
      <c r="K282" s="68"/>
    </row>
    <row r="283" spans="1:18">
      <c r="A283" s="215" t="s">
        <v>19</v>
      </c>
      <c r="B283" s="260" t="s">
        <v>419</v>
      </c>
      <c r="C283" s="260"/>
      <c r="D283" s="260"/>
      <c r="E283" s="260" t="s">
        <v>4</v>
      </c>
      <c r="F283" s="312" t="s">
        <v>108</v>
      </c>
      <c r="G283" s="260" t="s">
        <v>105</v>
      </c>
      <c r="H283" s="312" t="s">
        <v>108</v>
      </c>
      <c r="I283" s="260" t="s">
        <v>105</v>
      </c>
      <c r="J283" s="260" t="s">
        <v>279</v>
      </c>
      <c r="K283" s="260" t="s">
        <v>439</v>
      </c>
      <c r="M283" s="217"/>
      <c r="N283" s="217"/>
    </row>
    <row r="284" spans="1:18">
      <c r="A284" s="275" t="s">
        <v>544</v>
      </c>
      <c r="B284" s="261" t="s">
        <v>3</v>
      </c>
      <c r="C284" s="11" t="s">
        <v>102</v>
      </c>
      <c r="D284" s="261" t="s">
        <v>108</v>
      </c>
      <c r="E284" s="261"/>
      <c r="F284" s="261" t="s">
        <v>647</v>
      </c>
      <c r="G284" s="312" t="s">
        <v>111</v>
      </c>
      <c r="H284" s="260" t="s">
        <v>644</v>
      </c>
      <c r="I284" s="312" t="s">
        <v>106</v>
      </c>
      <c r="J284" s="260" t="s">
        <v>281</v>
      </c>
      <c r="K284" s="260" t="s">
        <v>404</v>
      </c>
      <c r="M284" s="217"/>
      <c r="N284" s="217"/>
    </row>
    <row r="285" spans="1:18">
      <c r="B285" s="260"/>
      <c r="C285" s="260" t="s">
        <v>648</v>
      </c>
      <c r="D285" s="260" t="s">
        <v>163</v>
      </c>
      <c r="E285" s="260"/>
      <c r="F285" s="260"/>
      <c r="G285" s="260" t="s">
        <v>5</v>
      </c>
      <c r="H285" s="260" t="s">
        <v>643</v>
      </c>
      <c r="I285" s="260" t="s">
        <v>5</v>
      </c>
      <c r="J285" s="260"/>
      <c r="K285" s="261" t="s">
        <v>90</v>
      </c>
      <c r="M285" s="217"/>
      <c r="N285" s="217"/>
    </row>
    <row r="286" spans="1:18">
      <c r="B286" s="68"/>
      <c r="C286" s="68"/>
      <c r="D286" s="68"/>
      <c r="E286" s="68"/>
      <c r="F286" s="68"/>
      <c r="G286" s="68"/>
      <c r="H286" s="68"/>
      <c r="I286" s="68"/>
      <c r="J286" s="68"/>
      <c r="K286" s="68"/>
    </row>
    <row r="287" spans="1:18">
      <c r="A287" s="262" t="s">
        <v>395</v>
      </c>
      <c r="B287" s="263">
        <v>1121063.6000000001</v>
      </c>
      <c r="C287" s="263">
        <v>0</v>
      </c>
      <c r="D287" s="263"/>
      <c r="E287" s="263">
        <v>0</v>
      </c>
      <c r="F287" s="263">
        <v>-10000</v>
      </c>
      <c r="G287" s="272">
        <v>436498</v>
      </c>
      <c r="H287" s="272">
        <v>0</v>
      </c>
      <c r="I287" s="272">
        <v>569869</v>
      </c>
      <c r="J287" s="272"/>
      <c r="K287" s="264">
        <f>SUM(B287+C287+I287-G287+F287)</f>
        <v>1244434.6000000001</v>
      </c>
      <c r="M287" s="273" t="s">
        <v>544</v>
      </c>
      <c r="N287" s="273"/>
      <c r="P287" s="274"/>
      <c r="R287" s="77" t="s">
        <v>544</v>
      </c>
    </row>
    <row r="288" spans="1:18">
      <c r="A288" s="262" t="s">
        <v>405</v>
      </c>
      <c r="B288" s="263">
        <v>80000</v>
      </c>
      <c r="C288" s="263"/>
      <c r="D288" s="263"/>
      <c r="E288" s="263">
        <v>0</v>
      </c>
      <c r="F288" s="263"/>
      <c r="G288" s="272">
        <v>0</v>
      </c>
      <c r="H288" s="272">
        <v>0</v>
      </c>
      <c r="I288" s="272">
        <v>0</v>
      </c>
      <c r="J288" s="272"/>
      <c r="K288" s="264">
        <f>SUM(B288+C288+I288-G288)</f>
        <v>80000</v>
      </c>
      <c r="M288" s="273"/>
      <c r="N288" s="273"/>
      <c r="P288" s="274"/>
    </row>
    <row r="289" spans="1:17">
      <c r="A289" s="262" t="s">
        <v>396</v>
      </c>
      <c r="B289" s="263">
        <v>621250</v>
      </c>
      <c r="C289" s="263"/>
      <c r="D289" s="263"/>
      <c r="E289" s="263">
        <v>0</v>
      </c>
      <c r="F289" s="263"/>
      <c r="G289" s="272">
        <v>783000</v>
      </c>
      <c r="H289" s="272">
        <v>0</v>
      </c>
      <c r="I289" s="272">
        <v>1083254</v>
      </c>
      <c r="J289" s="272"/>
      <c r="K289" s="265">
        <f>SUM(B289+C289+I289-G289)</f>
        <v>921504</v>
      </c>
      <c r="M289" s="273"/>
      <c r="N289" s="273"/>
      <c r="P289" s="274"/>
    </row>
    <row r="290" spans="1:17">
      <c r="A290" s="262" t="s">
        <v>397</v>
      </c>
      <c r="B290" s="263">
        <v>207189</v>
      </c>
      <c r="C290" s="263"/>
      <c r="D290" s="263"/>
      <c r="E290" s="263">
        <v>-38721</v>
      </c>
      <c r="F290" s="263"/>
      <c r="G290" s="272">
        <v>71946</v>
      </c>
      <c r="H290" s="272">
        <v>0</v>
      </c>
      <c r="I290" s="272">
        <v>256657</v>
      </c>
      <c r="J290" s="272"/>
      <c r="K290" s="264">
        <f>SUM(B290+C290+I290-G290+E290)</f>
        <v>353179</v>
      </c>
      <c r="M290" s="273"/>
      <c r="N290" s="273"/>
      <c r="P290" s="274"/>
    </row>
    <row r="291" spans="1:17">
      <c r="A291" s="262" t="s">
        <v>394</v>
      </c>
      <c r="B291" s="263">
        <v>3346314.42</v>
      </c>
      <c r="C291" s="263"/>
      <c r="D291" s="263"/>
      <c r="E291" s="263">
        <v>0</v>
      </c>
      <c r="F291" s="263"/>
      <c r="G291" s="272">
        <v>427350</v>
      </c>
      <c r="H291" s="272">
        <v>0</v>
      </c>
      <c r="I291" s="272">
        <v>678500</v>
      </c>
      <c r="J291" s="272"/>
      <c r="K291" s="264">
        <f>SUM(B291+C291+I291-G291)</f>
        <v>3597464.42</v>
      </c>
      <c r="M291" s="276" t="s">
        <v>544</v>
      </c>
      <c r="N291" s="273"/>
      <c r="P291" s="274"/>
    </row>
    <row r="292" spans="1:17">
      <c r="A292" s="262" t="s">
        <v>398</v>
      </c>
      <c r="B292" s="263">
        <v>669846</v>
      </c>
      <c r="C292" s="263"/>
      <c r="D292" s="263"/>
      <c r="E292" s="263">
        <v>0</v>
      </c>
      <c r="F292" s="263"/>
      <c r="G292" s="272">
        <v>381385</v>
      </c>
      <c r="H292" s="272">
        <v>-39118</v>
      </c>
      <c r="I292" s="272">
        <v>481824</v>
      </c>
      <c r="J292" s="272"/>
      <c r="K292" s="264">
        <f>SUM(B292+C292+I292-G292+H292)</f>
        <v>731167</v>
      </c>
      <c r="M292" s="273" t="s">
        <v>544</v>
      </c>
      <c r="N292" s="273"/>
      <c r="P292" s="274"/>
    </row>
    <row r="293" spans="1:17">
      <c r="A293" s="262" t="s">
        <v>399</v>
      </c>
      <c r="B293" s="263">
        <v>360408</v>
      </c>
      <c r="C293" s="263"/>
      <c r="D293" s="263"/>
      <c r="E293" s="263">
        <v>-17655</v>
      </c>
      <c r="F293" s="263"/>
      <c r="G293" s="272">
        <v>130500</v>
      </c>
      <c r="H293" s="272">
        <v>0</v>
      </c>
      <c r="I293" s="272">
        <v>90000</v>
      </c>
      <c r="J293" s="272">
        <v>128440</v>
      </c>
      <c r="K293" s="264">
        <f>SUM(B293+C293+I293-G293+J293+E293)</f>
        <v>430693</v>
      </c>
      <c r="M293" s="273" t="s">
        <v>544</v>
      </c>
      <c r="N293" s="273"/>
      <c r="P293" s="274"/>
    </row>
    <row r="294" spans="1:17">
      <c r="A294" s="262" t="s">
        <v>329</v>
      </c>
      <c r="B294" s="77">
        <v>131394.35</v>
      </c>
      <c r="C294" s="263"/>
      <c r="D294" s="263"/>
      <c r="E294" s="263">
        <v>0</v>
      </c>
      <c r="F294" s="263"/>
      <c r="G294" s="68">
        <v>185634</v>
      </c>
      <c r="H294" s="272">
        <v>0</v>
      </c>
      <c r="I294" s="272">
        <v>40000</v>
      </c>
      <c r="J294" s="272"/>
      <c r="K294" s="264">
        <f>SUM(B294+C294+I294-G294+J294+E294)</f>
        <v>-14239.649999999994</v>
      </c>
      <c r="M294" s="273"/>
      <c r="N294" s="273"/>
      <c r="P294" s="274"/>
    </row>
    <row r="295" spans="1:17">
      <c r="A295" s="262" t="s">
        <v>29</v>
      </c>
      <c r="B295" s="263">
        <v>58082131.159999996</v>
      </c>
      <c r="C295" s="263"/>
      <c r="D295" s="263"/>
      <c r="E295" s="263">
        <v>0</v>
      </c>
      <c r="F295" s="263"/>
      <c r="G295" s="272">
        <v>100000</v>
      </c>
      <c r="H295" s="272">
        <v>0</v>
      </c>
      <c r="I295" s="272">
        <v>898431</v>
      </c>
      <c r="J295" s="272"/>
      <c r="K295" s="264">
        <f>SUM(B295+C295+I295-G295)</f>
        <v>58880562.159999996</v>
      </c>
      <c r="M295" s="273" t="s">
        <v>544</v>
      </c>
      <c r="N295" s="273"/>
      <c r="P295" s="274"/>
    </row>
    <row r="296" spans="1:17">
      <c r="A296" s="262" t="s">
        <v>618</v>
      </c>
      <c r="B296" s="263">
        <v>575755</v>
      </c>
      <c r="C296" s="263">
        <v>3100</v>
      </c>
      <c r="D296" s="263">
        <v>10000</v>
      </c>
      <c r="E296" s="263">
        <v>0</v>
      </c>
      <c r="F296" s="263"/>
      <c r="G296" s="272">
        <v>284860</v>
      </c>
      <c r="H296" s="272">
        <v>0</v>
      </c>
      <c r="I296" s="272">
        <v>420109</v>
      </c>
      <c r="J296" s="272"/>
      <c r="K296" s="264">
        <f>SUM(B296+D296+I296-G296+C296)</f>
        <v>724104</v>
      </c>
      <c r="M296" s="273"/>
      <c r="N296" s="273"/>
      <c r="P296" s="274"/>
    </row>
    <row r="297" spans="1:17">
      <c r="A297" s="262" t="s">
        <v>780</v>
      </c>
      <c r="B297" s="263">
        <v>688768</v>
      </c>
      <c r="C297" s="263"/>
      <c r="D297" s="263"/>
      <c r="E297" s="263">
        <v>0</v>
      </c>
      <c r="F297" s="263"/>
      <c r="G297" s="272">
        <v>1678686</v>
      </c>
      <c r="H297" s="272">
        <v>0</v>
      </c>
      <c r="I297" s="272">
        <v>1526081</v>
      </c>
      <c r="J297" s="272"/>
      <c r="K297" s="265">
        <f>SUM(B297+C297+I297-G297)</f>
        <v>536163</v>
      </c>
      <c r="M297" s="273" t="s">
        <v>544</v>
      </c>
      <c r="N297" s="273"/>
      <c r="P297" s="274"/>
    </row>
    <row r="298" spans="1:17">
      <c r="A298" s="262" t="s">
        <v>407</v>
      </c>
      <c r="B298" s="263">
        <v>4261227</v>
      </c>
      <c r="C298" s="263"/>
      <c r="D298" s="263"/>
      <c r="E298" s="263">
        <v>0</v>
      </c>
      <c r="F298" s="263"/>
      <c r="G298" s="272">
        <v>0</v>
      </c>
      <c r="H298" s="272">
        <v>0</v>
      </c>
      <c r="I298" s="272">
        <v>0</v>
      </c>
      <c r="J298" s="272"/>
      <c r="K298" s="264">
        <f>SUM(B298+C298+I298-G298)</f>
        <v>4261227</v>
      </c>
      <c r="M298" s="273" t="s">
        <v>544</v>
      </c>
      <c r="N298" s="273"/>
      <c r="P298" s="274"/>
    </row>
    <row r="299" spans="1:17">
      <c r="A299" s="262" t="s">
        <v>138</v>
      </c>
      <c r="B299" s="263">
        <v>39222</v>
      </c>
      <c r="C299" s="263"/>
      <c r="D299" s="263"/>
      <c r="E299" s="263">
        <v>0</v>
      </c>
      <c r="F299" s="263"/>
      <c r="G299" s="272">
        <v>0</v>
      </c>
      <c r="H299" s="272">
        <v>0</v>
      </c>
      <c r="I299" s="272">
        <v>0</v>
      </c>
      <c r="J299" s="272"/>
      <c r="K299" s="265">
        <f>SUM(B299+C299+I299-G299)</f>
        <v>39222</v>
      </c>
      <c r="M299" s="273"/>
      <c r="N299" s="273"/>
      <c r="P299" s="274"/>
    </row>
    <row r="300" spans="1:17">
      <c r="A300" s="262"/>
      <c r="B300" s="68"/>
      <c r="C300" s="68"/>
      <c r="D300" s="68"/>
      <c r="E300" s="68">
        <v>0</v>
      </c>
      <c r="F300" s="68"/>
      <c r="G300" s="272"/>
      <c r="H300" s="272"/>
      <c r="I300" s="277"/>
      <c r="J300" s="277"/>
      <c r="K300" s="272"/>
      <c r="M300" s="278"/>
      <c r="N300" s="278"/>
      <c r="P300" s="266"/>
    </row>
    <row r="301" spans="1:17">
      <c r="A301" s="256" t="s">
        <v>401</v>
      </c>
      <c r="B301" s="267">
        <f>SUM(B287:B299)</f>
        <v>70184568.530000001</v>
      </c>
      <c r="C301" s="267">
        <f t="shared" ref="C301:K301" si="15">SUM(C287:C299)</f>
        <v>3100</v>
      </c>
      <c r="D301" s="267">
        <f t="shared" si="15"/>
        <v>10000</v>
      </c>
      <c r="E301" s="267">
        <f>SUM(E287:E300)</f>
        <v>-56376</v>
      </c>
      <c r="F301" s="267">
        <f t="shared" si="15"/>
        <v>-10000</v>
      </c>
      <c r="G301" s="267">
        <f>SUM(G287:G299)</f>
        <v>4479859</v>
      </c>
      <c r="H301" s="267">
        <f t="shared" si="15"/>
        <v>-39118</v>
      </c>
      <c r="I301" s="267">
        <f t="shared" si="15"/>
        <v>6044725</v>
      </c>
      <c r="J301" s="267">
        <f t="shared" si="15"/>
        <v>128440</v>
      </c>
      <c r="K301" s="267">
        <f t="shared" si="15"/>
        <v>71785480.530000001</v>
      </c>
      <c r="M301" s="268"/>
      <c r="N301" s="268"/>
      <c r="Q301" s="269" t="s">
        <v>544</v>
      </c>
    </row>
    <row r="302" spans="1:17">
      <c r="A302" s="200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M302" s="187"/>
      <c r="N302" s="187"/>
    </row>
    <row r="303" spans="1:17" ht="16.5" thickBot="1">
      <c r="A303" s="256" t="s">
        <v>597</v>
      </c>
      <c r="B303" s="204">
        <f>SUM(B259+B279+B301)</f>
        <v>102104672.03</v>
      </c>
      <c r="C303" s="204">
        <f>SUM(C259+C279+C301)</f>
        <v>3100</v>
      </c>
      <c r="D303" s="204">
        <f>SUM(D259+D279+D301)</f>
        <v>6900</v>
      </c>
      <c r="E303" s="204">
        <f>SUM(E301)</f>
        <v>-56376</v>
      </c>
      <c r="F303" s="204">
        <f>SUM(F279+F301)</f>
        <v>-10000</v>
      </c>
      <c r="G303" s="204">
        <f>SUM(G259+G279+G301)</f>
        <v>25289357</v>
      </c>
      <c r="H303" s="204">
        <f>SUM(H279+H301)</f>
        <v>-735291</v>
      </c>
      <c r="I303" s="204">
        <f>SUM(I259+I279+I301)</f>
        <v>17213753</v>
      </c>
      <c r="J303" s="204">
        <f>SUM(J259+J279+J301)</f>
        <v>98972</v>
      </c>
      <c r="K303" s="204">
        <f>SUM(K259+K279+K301)</f>
        <v>93375491.030000001</v>
      </c>
      <c r="M303" s="279"/>
      <c r="N303" s="203"/>
      <c r="P303" s="77" t="s">
        <v>544</v>
      </c>
    </row>
    <row r="304" spans="1:17" ht="16.5" thickTop="1">
      <c r="A304" s="258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3"/>
      <c r="M304" s="203"/>
      <c r="N304" s="203"/>
    </row>
    <row r="305" spans="1:15">
      <c r="A305" s="258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</row>
    <row r="306" spans="1:15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</row>
    <row r="308" spans="1:15">
      <c r="G308" s="77" t="s">
        <v>544</v>
      </c>
      <c r="K308" s="9" t="s">
        <v>544</v>
      </c>
      <c r="L308" s="9"/>
      <c r="M308" s="9"/>
      <c r="N308" s="9"/>
      <c r="O308" s="9" t="s">
        <v>544</v>
      </c>
    </row>
    <row r="309" spans="1:15">
      <c r="G309" s="77" t="s">
        <v>544</v>
      </c>
    </row>
    <row r="311" spans="1:15">
      <c r="A311" s="9" t="s">
        <v>91</v>
      </c>
      <c r="F311" s="3" t="s">
        <v>918</v>
      </c>
      <c r="O311" s="9" t="s">
        <v>544</v>
      </c>
    </row>
    <row r="313" spans="1:15">
      <c r="A313" s="9" t="s">
        <v>114</v>
      </c>
    </row>
    <row r="314" spans="1:15">
      <c r="A314" s="215" t="s">
        <v>19</v>
      </c>
      <c r="B314" s="259" t="s">
        <v>419</v>
      </c>
      <c r="C314" s="259" t="s">
        <v>112</v>
      </c>
      <c r="D314" s="194" t="s">
        <v>113</v>
      </c>
      <c r="E314" s="194" t="s">
        <v>4</v>
      </c>
      <c r="F314" s="259" t="s">
        <v>3</v>
      </c>
    </row>
    <row r="315" spans="1:15">
      <c r="B315" s="194" t="s">
        <v>3</v>
      </c>
      <c r="C315" s="259" t="s">
        <v>322</v>
      </c>
      <c r="D315" s="194" t="s">
        <v>440</v>
      </c>
      <c r="E315" s="194" t="s">
        <v>322</v>
      </c>
      <c r="F315" s="259" t="s">
        <v>92</v>
      </c>
    </row>
    <row r="316" spans="1:15">
      <c r="A316" s="230"/>
      <c r="B316" s="259" t="s">
        <v>89</v>
      </c>
      <c r="C316" s="259" t="s">
        <v>302</v>
      </c>
      <c r="D316" s="230"/>
      <c r="E316" s="194" t="s">
        <v>302</v>
      </c>
      <c r="F316" s="194" t="s">
        <v>544</v>
      </c>
    </row>
    <row r="319" spans="1:15">
      <c r="A319" s="77" t="s">
        <v>408</v>
      </c>
      <c r="B319" s="68">
        <v>6173507</v>
      </c>
      <c r="C319" s="68">
        <v>280392</v>
      </c>
      <c r="D319" s="68">
        <v>4285423</v>
      </c>
      <c r="E319" s="68">
        <v>0</v>
      </c>
      <c r="F319" s="105">
        <f t="shared" ref="F319:F330" si="16">+B319+C319-D319-E319</f>
        <v>2168476</v>
      </c>
    </row>
    <row r="320" spans="1:15">
      <c r="A320" s="77" t="s">
        <v>594</v>
      </c>
      <c r="B320" s="68">
        <v>91157160</v>
      </c>
      <c r="C320" s="68">
        <v>15774391</v>
      </c>
      <c r="D320" s="68">
        <v>17644379</v>
      </c>
      <c r="E320" s="68">
        <v>4018049</v>
      </c>
      <c r="F320" s="105">
        <f t="shared" si="16"/>
        <v>85269123</v>
      </c>
    </row>
    <row r="321" spans="1:6">
      <c r="A321" s="77" t="s">
        <v>409</v>
      </c>
      <c r="B321" s="68">
        <v>4894795</v>
      </c>
      <c r="C321" s="68">
        <v>3781458</v>
      </c>
      <c r="D321" s="68">
        <v>3402884</v>
      </c>
      <c r="E321" s="68">
        <v>1491911</v>
      </c>
      <c r="F321" s="105">
        <f t="shared" si="16"/>
        <v>3781458</v>
      </c>
    </row>
    <row r="322" spans="1:6">
      <c r="A322" s="77" t="s">
        <v>410</v>
      </c>
      <c r="B322" s="68">
        <v>544608</v>
      </c>
      <c r="C322" s="68">
        <v>355284</v>
      </c>
      <c r="D322" s="68">
        <v>362891</v>
      </c>
      <c r="E322" s="68">
        <v>181717</v>
      </c>
      <c r="F322" s="105">
        <f t="shared" si="16"/>
        <v>355284</v>
      </c>
    </row>
    <row r="323" spans="1:6">
      <c r="A323" s="77" t="s">
        <v>411</v>
      </c>
      <c r="B323" s="68">
        <v>3222898</v>
      </c>
      <c r="C323" s="68">
        <v>1313049</v>
      </c>
      <c r="D323" s="68">
        <v>3028543</v>
      </c>
      <c r="E323" s="68">
        <v>0</v>
      </c>
      <c r="F323" s="105">
        <f t="shared" si="16"/>
        <v>1507404</v>
      </c>
    </row>
    <row r="324" spans="1:6">
      <c r="A324" s="77" t="s">
        <v>412</v>
      </c>
      <c r="B324" s="68">
        <v>3867049</v>
      </c>
      <c r="C324" s="68">
        <v>8568023</v>
      </c>
      <c r="D324" s="68">
        <v>3560219</v>
      </c>
      <c r="E324" s="68">
        <v>0</v>
      </c>
      <c r="F324" s="105">
        <f t="shared" si="16"/>
        <v>8874853</v>
      </c>
    </row>
    <row r="325" spans="1:6">
      <c r="A325" s="77" t="s">
        <v>356</v>
      </c>
      <c r="B325" s="68">
        <v>4156334</v>
      </c>
      <c r="C325" s="68">
        <v>8392413</v>
      </c>
      <c r="D325" s="68">
        <v>2702991</v>
      </c>
      <c r="E325" s="68">
        <v>1203343</v>
      </c>
      <c r="F325" s="105">
        <f t="shared" si="16"/>
        <v>8642413</v>
      </c>
    </row>
    <row r="326" spans="1:6">
      <c r="A326" s="77" t="s">
        <v>413</v>
      </c>
      <c r="B326" s="68">
        <v>0</v>
      </c>
      <c r="C326" s="68">
        <v>196217</v>
      </c>
      <c r="D326" s="68">
        <v>0</v>
      </c>
      <c r="E326" s="68">
        <v>0</v>
      </c>
      <c r="F326" s="105">
        <f t="shared" si="16"/>
        <v>196217</v>
      </c>
    </row>
    <row r="327" spans="1:6">
      <c r="A327" s="77" t="s">
        <v>414</v>
      </c>
      <c r="B327" s="68">
        <v>61122</v>
      </c>
      <c r="C327" s="68">
        <v>11970</v>
      </c>
      <c r="D327" s="68">
        <v>61122</v>
      </c>
      <c r="E327" s="68">
        <v>0</v>
      </c>
      <c r="F327" s="105">
        <f t="shared" si="16"/>
        <v>11970</v>
      </c>
    </row>
    <row r="328" spans="1:6">
      <c r="A328" s="77" t="s">
        <v>415</v>
      </c>
      <c r="B328" s="68">
        <v>10740877</v>
      </c>
      <c r="C328" s="68">
        <v>5116868</v>
      </c>
      <c r="D328" s="68">
        <v>5637691</v>
      </c>
      <c r="E328" s="68">
        <v>4253506</v>
      </c>
      <c r="F328" s="105">
        <f t="shared" si="16"/>
        <v>5966548</v>
      </c>
    </row>
    <row r="329" spans="1:6">
      <c r="A329" s="77" t="s">
        <v>416</v>
      </c>
      <c r="B329" s="68">
        <v>73927</v>
      </c>
      <c r="C329" s="68">
        <v>121330</v>
      </c>
      <c r="D329" s="68">
        <v>43092</v>
      </c>
      <c r="E329" s="68">
        <v>0</v>
      </c>
      <c r="F329" s="105">
        <f t="shared" si="16"/>
        <v>152165</v>
      </c>
    </row>
    <row r="330" spans="1:6">
      <c r="A330" s="77" t="s">
        <v>417</v>
      </c>
      <c r="B330" s="68">
        <v>1865387</v>
      </c>
      <c r="C330" s="68">
        <v>5420313</v>
      </c>
      <c r="D330" s="68">
        <v>1864875</v>
      </c>
      <c r="E330" s="68">
        <v>512</v>
      </c>
      <c r="F330" s="105">
        <f t="shared" si="16"/>
        <v>5420313</v>
      </c>
    </row>
    <row r="331" spans="1:6">
      <c r="B331" s="68"/>
      <c r="C331" s="68"/>
      <c r="D331" s="68"/>
      <c r="E331" s="68" t="s">
        <v>418</v>
      </c>
      <c r="F331" s="68"/>
    </row>
    <row r="332" spans="1:6" ht="16.5" thickBot="1">
      <c r="A332" s="43" t="s">
        <v>294</v>
      </c>
      <c r="B332" s="70">
        <f t="shared" ref="B332:C332" si="17">SUM(B319:B330)</f>
        <v>126757664</v>
      </c>
      <c r="C332" s="70">
        <f t="shared" si="17"/>
        <v>49331708</v>
      </c>
      <c r="D332" s="70">
        <f>SUM(D319:D330)</f>
        <v>42594110</v>
      </c>
      <c r="E332" s="70">
        <f>SUM(E319:E330)</f>
        <v>11149038</v>
      </c>
      <c r="F332" s="70">
        <f>SUM(F319:F330)</f>
        <v>122346224</v>
      </c>
    </row>
    <row r="333" spans="1:6" ht="16.5" thickTop="1">
      <c r="B333" s="280"/>
      <c r="C333" s="280"/>
      <c r="D333" s="280"/>
      <c r="E333" s="280"/>
      <c r="F333" s="280"/>
    </row>
    <row r="334" spans="1:6">
      <c r="A334" s="9" t="s">
        <v>357</v>
      </c>
    </row>
    <row r="336" spans="1:6">
      <c r="A336" s="77" t="s">
        <v>408</v>
      </c>
      <c r="B336" s="68">
        <v>0</v>
      </c>
      <c r="C336" s="68">
        <v>4041226</v>
      </c>
      <c r="D336" s="68">
        <v>0</v>
      </c>
      <c r="E336" s="68">
        <v>0</v>
      </c>
      <c r="F336" s="105">
        <f t="shared" ref="F336:F347" si="18">+B336+C336-D336-E336</f>
        <v>4041226</v>
      </c>
    </row>
    <row r="337" spans="1:13">
      <c r="A337" s="77" t="s">
        <v>594</v>
      </c>
      <c r="B337" s="68">
        <v>0</v>
      </c>
      <c r="C337" s="68">
        <v>91904887</v>
      </c>
      <c r="D337" s="68">
        <v>0</v>
      </c>
      <c r="E337" s="68">
        <v>0</v>
      </c>
      <c r="F337" s="105">
        <f t="shared" si="18"/>
        <v>91904887</v>
      </c>
    </row>
    <row r="338" spans="1:13">
      <c r="A338" s="77" t="s">
        <v>409</v>
      </c>
      <c r="B338" s="68">
        <v>0</v>
      </c>
      <c r="C338" s="68">
        <v>1996839</v>
      </c>
      <c r="D338" s="68">
        <v>0</v>
      </c>
      <c r="E338" s="68">
        <v>0</v>
      </c>
      <c r="F338" s="105">
        <f t="shared" si="18"/>
        <v>1996839</v>
      </c>
    </row>
    <row r="339" spans="1:13">
      <c r="A339" s="77" t="s">
        <v>410</v>
      </c>
      <c r="B339" s="68">
        <v>0</v>
      </c>
      <c r="C339" s="68">
        <v>2250867</v>
      </c>
      <c r="D339" s="68">
        <v>0</v>
      </c>
      <c r="E339" s="68">
        <v>0</v>
      </c>
      <c r="F339" s="105">
        <f t="shared" si="18"/>
        <v>2250867</v>
      </c>
    </row>
    <row r="340" spans="1:13">
      <c r="A340" s="77" t="s">
        <v>411</v>
      </c>
      <c r="B340" s="68">
        <v>0</v>
      </c>
      <c r="C340" s="68">
        <v>1706932</v>
      </c>
      <c r="D340" s="68">
        <v>0</v>
      </c>
      <c r="E340" s="68">
        <v>0</v>
      </c>
      <c r="F340" s="105">
        <f t="shared" si="18"/>
        <v>1706932</v>
      </c>
    </row>
    <row r="341" spans="1:13">
      <c r="A341" s="77" t="s">
        <v>412</v>
      </c>
      <c r="B341" s="68">
        <v>0</v>
      </c>
      <c r="C341" s="68">
        <v>16335821</v>
      </c>
      <c r="D341" s="68">
        <v>0</v>
      </c>
      <c r="E341" s="68">
        <v>0</v>
      </c>
      <c r="F341" s="105">
        <f t="shared" si="18"/>
        <v>16335821</v>
      </c>
    </row>
    <row r="342" spans="1:13">
      <c r="A342" s="77" t="s">
        <v>356</v>
      </c>
      <c r="B342" s="68">
        <v>0</v>
      </c>
      <c r="C342" s="68">
        <v>1598044</v>
      </c>
      <c r="D342" s="68">
        <v>0</v>
      </c>
      <c r="E342" s="68">
        <v>0</v>
      </c>
      <c r="F342" s="105">
        <f t="shared" si="18"/>
        <v>1598044</v>
      </c>
    </row>
    <row r="343" spans="1:13">
      <c r="A343" s="77" t="s">
        <v>413</v>
      </c>
      <c r="B343" s="68">
        <v>0</v>
      </c>
      <c r="C343" s="68">
        <v>807979</v>
      </c>
      <c r="D343" s="68">
        <v>0</v>
      </c>
      <c r="E343" s="68">
        <v>0</v>
      </c>
      <c r="F343" s="105">
        <f t="shared" si="18"/>
        <v>807979</v>
      </c>
    </row>
    <row r="344" spans="1:13">
      <c r="A344" s="77" t="s">
        <v>414</v>
      </c>
      <c r="B344" s="68">
        <v>0</v>
      </c>
      <c r="C344" s="68">
        <v>526745</v>
      </c>
      <c r="D344" s="68">
        <v>0</v>
      </c>
      <c r="E344" s="68">
        <v>0</v>
      </c>
      <c r="F344" s="105">
        <f t="shared" si="18"/>
        <v>526745</v>
      </c>
    </row>
    <row r="345" spans="1:13">
      <c r="A345" s="77" t="s">
        <v>415</v>
      </c>
      <c r="B345" s="68">
        <v>0</v>
      </c>
      <c r="C345" s="68">
        <v>3261480</v>
      </c>
      <c r="D345" s="68">
        <v>0</v>
      </c>
      <c r="E345" s="68">
        <v>0</v>
      </c>
      <c r="F345" s="105">
        <f t="shared" si="18"/>
        <v>3261480</v>
      </c>
    </row>
    <row r="346" spans="1:13">
      <c r="A346" s="77" t="s">
        <v>416</v>
      </c>
      <c r="B346" s="68">
        <v>0</v>
      </c>
      <c r="C346" s="68">
        <v>3156709</v>
      </c>
      <c r="D346" s="68">
        <v>0</v>
      </c>
      <c r="E346" s="68">
        <v>0</v>
      </c>
      <c r="F346" s="105">
        <f t="shared" si="18"/>
        <v>3156709</v>
      </c>
    </row>
    <row r="347" spans="1:13">
      <c r="A347" s="77" t="s">
        <v>417</v>
      </c>
      <c r="B347" s="68">
        <v>0</v>
      </c>
      <c r="C347" s="68">
        <v>13865362</v>
      </c>
      <c r="D347" s="68">
        <v>0</v>
      </c>
      <c r="E347" s="68">
        <v>0</v>
      </c>
      <c r="F347" s="105">
        <f t="shared" si="18"/>
        <v>13865362</v>
      </c>
    </row>
    <row r="348" spans="1:13">
      <c r="B348" s="68"/>
      <c r="C348" s="68"/>
      <c r="D348" s="68"/>
      <c r="E348" s="68" t="s">
        <v>418</v>
      </c>
      <c r="F348" s="68"/>
    </row>
    <row r="349" spans="1:13" ht="16.5" thickBot="1">
      <c r="A349" s="43" t="s">
        <v>294</v>
      </c>
      <c r="B349" s="70">
        <f t="shared" ref="B349:C349" si="19">SUM(B336:B347)</f>
        <v>0</v>
      </c>
      <c r="C349" s="70">
        <f t="shared" si="19"/>
        <v>141452891</v>
      </c>
      <c r="D349" s="70">
        <f>SUM(D336:D347)</f>
        <v>0</v>
      </c>
      <c r="E349" s="70">
        <f>SUM(E336:E347)</f>
        <v>0</v>
      </c>
      <c r="F349" s="70">
        <f>SUM(F336:F347)</f>
        <v>141452891</v>
      </c>
    </row>
    <row r="350" spans="1:13" ht="16.5" thickTop="1"/>
    <row r="351" spans="1:13" ht="16.5" thickBot="1">
      <c r="A351" s="303" t="s">
        <v>597</v>
      </c>
      <c r="B351" s="228">
        <f t="shared" ref="B351:C351" si="20">+B349+B332</f>
        <v>126757664</v>
      </c>
      <c r="C351" s="228">
        <f t="shared" si="20"/>
        <v>190784599</v>
      </c>
      <c r="D351" s="228">
        <f>+D349+D332</f>
        <v>42594110</v>
      </c>
      <c r="E351" s="228">
        <f>+E349+E332</f>
        <v>11149038</v>
      </c>
      <c r="F351" s="228">
        <f>+F349+F332</f>
        <v>263799115</v>
      </c>
    </row>
    <row r="352" spans="1:13" ht="16.5" thickTop="1">
      <c r="A352" s="282"/>
      <c r="B352" s="346" t="s">
        <v>544</v>
      </c>
      <c r="C352" s="346"/>
      <c r="D352" s="346"/>
      <c r="E352" s="346"/>
      <c r="F352" s="346"/>
      <c r="G352" s="346"/>
      <c r="H352" s="347"/>
      <c r="I352" s="347"/>
      <c r="J352" s="347"/>
      <c r="K352" s="347"/>
      <c r="L352" s="347"/>
      <c r="M352" s="44"/>
    </row>
    <row r="353" spans="1:13">
      <c r="A353" s="348" t="s">
        <v>544</v>
      </c>
      <c r="B353" s="348"/>
      <c r="C353" s="348"/>
      <c r="D353" s="348"/>
      <c r="E353" s="348"/>
      <c r="F353" s="348"/>
      <c r="G353" s="348"/>
      <c r="H353" s="348"/>
      <c r="I353" s="348"/>
      <c r="J353" s="348"/>
      <c r="K353" s="348"/>
      <c r="L353" s="348"/>
      <c r="M353" s="348"/>
    </row>
    <row r="354" spans="1:13">
      <c r="A354" s="45" t="s">
        <v>93</v>
      </c>
      <c r="B354" s="233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7"/>
    </row>
    <row r="355" spans="1:13">
      <c r="A355" s="48" t="s">
        <v>544</v>
      </c>
      <c r="B355" s="47"/>
      <c r="C355" s="47"/>
      <c r="D355" s="48" t="s">
        <v>544</v>
      </c>
      <c r="E355" s="47" t="s">
        <v>544</v>
      </c>
      <c r="F355" s="47"/>
      <c r="G355" s="22" t="s">
        <v>919</v>
      </c>
      <c r="J355" s="48"/>
    </row>
    <row r="356" spans="1:13">
      <c r="A356" s="47"/>
      <c r="B356" s="47"/>
      <c r="C356" s="47"/>
      <c r="D356" s="47" t="s">
        <v>544</v>
      </c>
      <c r="E356" s="47"/>
      <c r="F356" s="47"/>
      <c r="G356" s="47"/>
      <c r="J356" s="47"/>
    </row>
    <row r="357" spans="1:13">
      <c r="A357" s="49" t="s">
        <v>536</v>
      </c>
      <c r="B357" s="49" t="s">
        <v>419</v>
      </c>
      <c r="C357" s="51" t="s">
        <v>361</v>
      </c>
      <c r="D357" s="313" t="s">
        <v>420</v>
      </c>
      <c r="E357" s="49" t="s">
        <v>439</v>
      </c>
      <c r="F357" s="51" t="s">
        <v>421</v>
      </c>
      <c r="G357" s="49" t="s">
        <v>2</v>
      </c>
      <c r="J357" s="49"/>
    </row>
    <row r="358" spans="1:13">
      <c r="A358" s="50"/>
      <c r="B358" s="49" t="s">
        <v>3</v>
      </c>
      <c r="C358" s="49" t="s">
        <v>4</v>
      </c>
      <c r="D358" s="49" t="s">
        <v>5</v>
      </c>
      <c r="E358" s="50"/>
      <c r="F358" s="49" t="s">
        <v>6</v>
      </c>
      <c r="G358" s="49" t="s">
        <v>3</v>
      </c>
      <c r="J358" s="49"/>
    </row>
    <row r="359" spans="1:13">
      <c r="A359" s="313"/>
      <c r="B359" s="49" t="s">
        <v>94</v>
      </c>
      <c r="C359" s="49" t="s">
        <v>403</v>
      </c>
      <c r="D359" s="50"/>
      <c r="E359" s="50"/>
      <c r="F359" s="49" t="s">
        <v>403</v>
      </c>
      <c r="G359" s="49" t="s">
        <v>95</v>
      </c>
      <c r="J359" s="49"/>
    </row>
    <row r="360" spans="1:13">
      <c r="A360" s="313"/>
      <c r="B360" s="50"/>
      <c r="C360" s="49"/>
      <c r="D360" s="50"/>
      <c r="E360" s="50"/>
      <c r="F360" s="49"/>
      <c r="G360" s="49"/>
      <c r="J360" s="49"/>
    </row>
    <row r="361" spans="1:13">
      <c r="A361" s="319"/>
      <c r="B361" s="52"/>
      <c r="C361" s="52" t="s">
        <v>544</v>
      </c>
      <c r="D361" s="52"/>
      <c r="E361" s="53"/>
      <c r="F361" s="52"/>
      <c r="G361" s="54"/>
      <c r="J361" s="54"/>
    </row>
    <row r="362" spans="1:13">
      <c r="A362" s="320" t="s">
        <v>7</v>
      </c>
      <c r="B362" s="53" t="s">
        <v>544</v>
      </c>
      <c r="C362" s="52" t="s">
        <v>544</v>
      </c>
      <c r="D362" s="53" t="s">
        <v>544</v>
      </c>
      <c r="E362" s="53" t="s">
        <v>544</v>
      </c>
      <c r="F362" s="53" t="s">
        <v>544</v>
      </c>
      <c r="G362" s="54" t="s">
        <v>544</v>
      </c>
      <c r="J362" s="54"/>
    </row>
    <row r="363" spans="1:13">
      <c r="A363" s="321" t="s">
        <v>407</v>
      </c>
      <c r="B363" s="56">
        <v>94025</v>
      </c>
      <c r="C363" s="56">
        <v>0</v>
      </c>
      <c r="D363" s="56">
        <v>0</v>
      </c>
      <c r="E363" s="56">
        <f>B363-C363+D363</f>
        <v>94025</v>
      </c>
      <c r="F363" s="56">
        <v>0</v>
      </c>
      <c r="G363" s="57">
        <f>E363-F363</f>
        <v>94025</v>
      </c>
      <c r="J363" s="57"/>
      <c r="K363" s="68"/>
      <c r="L363" s="68"/>
      <c r="M363" s="68"/>
    </row>
    <row r="364" spans="1:13">
      <c r="A364" s="322" t="s">
        <v>439</v>
      </c>
      <c r="B364" s="59">
        <f t="shared" ref="B364:G364" si="21">SUM(B363:B363)</f>
        <v>94025</v>
      </c>
      <c r="C364" s="59">
        <f t="shared" si="21"/>
        <v>0</v>
      </c>
      <c r="D364" s="59">
        <f t="shared" si="21"/>
        <v>0</v>
      </c>
      <c r="E364" s="59">
        <f t="shared" si="21"/>
        <v>94025</v>
      </c>
      <c r="F364" s="59">
        <f t="shared" si="21"/>
        <v>0</v>
      </c>
      <c r="G364" s="59">
        <f t="shared" si="21"/>
        <v>94025</v>
      </c>
      <c r="J364" s="59"/>
      <c r="K364" s="68"/>
      <c r="L364" s="68"/>
      <c r="M364" s="68"/>
    </row>
    <row r="365" spans="1:13">
      <c r="A365" s="323"/>
      <c r="B365" s="56" t="s">
        <v>544</v>
      </c>
      <c r="C365" s="58"/>
      <c r="D365" s="56"/>
      <c r="E365" s="56"/>
      <c r="F365" s="56"/>
      <c r="G365" s="57"/>
      <c r="J365" s="57"/>
      <c r="K365" s="68"/>
      <c r="L365" s="68"/>
      <c r="M365" s="68"/>
    </row>
    <row r="366" spans="1:13">
      <c r="A366" s="322" t="s">
        <v>8</v>
      </c>
      <c r="B366" s="56" t="s">
        <v>544</v>
      </c>
      <c r="C366" s="58" t="s">
        <v>544</v>
      </c>
      <c r="D366" s="56" t="s">
        <v>544</v>
      </c>
      <c r="E366" s="56" t="s">
        <v>544</v>
      </c>
      <c r="F366" s="56" t="s">
        <v>544</v>
      </c>
      <c r="G366" s="57" t="s">
        <v>544</v>
      </c>
      <c r="J366" s="57"/>
      <c r="K366" s="68"/>
      <c r="L366" s="68"/>
      <c r="M366" s="68"/>
    </row>
    <row r="367" spans="1:13">
      <c r="A367" s="321" t="s">
        <v>396</v>
      </c>
      <c r="B367" s="56">
        <v>43829</v>
      </c>
      <c r="C367" s="58"/>
      <c r="D367" s="58">
        <v>472500</v>
      </c>
      <c r="E367" s="56">
        <f>B367-C367+D367</f>
        <v>516329</v>
      </c>
      <c r="F367" s="58">
        <v>39229</v>
      </c>
      <c r="G367" s="57">
        <f>E367-F367</f>
        <v>477100</v>
      </c>
      <c r="J367" s="57"/>
      <c r="K367" s="68"/>
      <c r="L367" s="68"/>
      <c r="M367" s="68"/>
    </row>
    <row r="368" spans="1:13">
      <c r="A368" s="321" t="s">
        <v>399</v>
      </c>
      <c r="B368" s="56">
        <v>0</v>
      </c>
      <c r="C368" s="58"/>
      <c r="D368" s="58">
        <v>95041</v>
      </c>
      <c r="E368" s="56">
        <f>B368-C368+D368</f>
        <v>95041</v>
      </c>
      <c r="F368" s="58"/>
      <c r="G368" s="57">
        <f>E368-F368</f>
        <v>95041</v>
      </c>
      <c r="J368" s="57"/>
      <c r="K368" s="68"/>
      <c r="L368" s="68"/>
      <c r="M368" s="68"/>
    </row>
    <row r="369" spans="1:13">
      <c r="A369" s="321" t="s">
        <v>278</v>
      </c>
      <c r="B369" s="56">
        <v>77810</v>
      </c>
      <c r="C369" s="58">
        <v>200</v>
      </c>
      <c r="D369" s="58">
        <v>80101</v>
      </c>
      <c r="E369" s="56">
        <f>B369-C369+D369</f>
        <v>157711</v>
      </c>
      <c r="F369" s="58">
        <v>77610</v>
      </c>
      <c r="G369" s="57">
        <f>E369-F369</f>
        <v>80101</v>
      </c>
      <c r="J369" s="57"/>
      <c r="K369" s="68"/>
      <c r="L369" s="68"/>
      <c r="M369" s="68"/>
    </row>
    <row r="370" spans="1:13">
      <c r="A370" s="321" t="s">
        <v>407</v>
      </c>
      <c r="B370" s="56">
        <v>3602061</v>
      </c>
      <c r="C370" s="58"/>
      <c r="D370" s="58"/>
      <c r="E370" s="56">
        <f>B370-C370+D370</f>
        <v>3602061</v>
      </c>
      <c r="F370" s="58">
        <v>0</v>
      </c>
      <c r="G370" s="57">
        <f>E370-F370</f>
        <v>3602061</v>
      </c>
      <c r="J370" s="57"/>
      <c r="K370" s="68"/>
      <c r="L370" s="68"/>
      <c r="M370" s="68"/>
    </row>
    <row r="371" spans="1:13">
      <c r="A371" s="322" t="s">
        <v>439</v>
      </c>
      <c r="B371" s="59">
        <f t="shared" ref="B371:G371" si="22">SUM(B367:B370)</f>
        <v>3723700</v>
      </c>
      <c r="C371" s="59">
        <f t="shared" si="22"/>
        <v>200</v>
      </c>
      <c r="D371" s="59">
        <f t="shared" si="22"/>
        <v>647642</v>
      </c>
      <c r="E371" s="59">
        <f t="shared" si="22"/>
        <v>4371142</v>
      </c>
      <c r="F371" s="59">
        <f t="shared" si="22"/>
        <v>116839</v>
      </c>
      <c r="G371" s="59">
        <f t="shared" si="22"/>
        <v>4254303</v>
      </c>
      <c r="J371" s="59"/>
      <c r="K371" s="68"/>
      <c r="L371" s="68"/>
      <c r="M371" s="68"/>
    </row>
    <row r="372" spans="1:13">
      <c r="A372" s="323"/>
      <c r="B372" s="56"/>
      <c r="C372" s="58"/>
      <c r="D372" s="56"/>
      <c r="E372" s="56"/>
      <c r="F372" s="56"/>
      <c r="G372" s="57"/>
      <c r="J372" s="57"/>
      <c r="K372" s="68"/>
      <c r="L372" s="68"/>
      <c r="M372" s="68"/>
    </row>
    <row r="373" spans="1:13">
      <c r="A373" s="322" t="s">
        <v>9</v>
      </c>
      <c r="B373" s="56"/>
      <c r="C373" s="58"/>
      <c r="D373" s="56"/>
      <c r="E373" s="56"/>
      <c r="F373" s="56"/>
      <c r="G373" s="57"/>
      <c r="J373" s="57"/>
      <c r="K373" s="68"/>
      <c r="L373" s="68"/>
      <c r="M373" s="68"/>
    </row>
    <row r="374" spans="1:13">
      <c r="A374" s="321" t="s">
        <v>396</v>
      </c>
      <c r="B374" s="56">
        <v>99892</v>
      </c>
      <c r="C374" s="58"/>
      <c r="D374" s="58"/>
      <c r="E374" s="56">
        <f t="shared" ref="E374:E379" si="23">B374-C374+D374</f>
        <v>99892</v>
      </c>
      <c r="F374" s="58">
        <v>99892</v>
      </c>
      <c r="G374" s="57">
        <f t="shared" ref="G374:G379" si="24">E374-F374</f>
        <v>0</v>
      </c>
      <c r="J374" s="57"/>
      <c r="K374" s="68"/>
      <c r="L374" s="68"/>
      <c r="M374" s="68"/>
    </row>
    <row r="375" spans="1:13">
      <c r="A375" s="321" t="s">
        <v>394</v>
      </c>
      <c r="B375" s="56">
        <v>92700</v>
      </c>
      <c r="C375" s="58"/>
      <c r="D375" s="58"/>
      <c r="E375" s="56">
        <f t="shared" si="23"/>
        <v>92700</v>
      </c>
      <c r="F375" s="58">
        <v>92700</v>
      </c>
      <c r="G375" s="57">
        <f t="shared" si="24"/>
        <v>0</v>
      </c>
      <c r="J375" s="57"/>
      <c r="K375" s="68"/>
      <c r="L375" s="68"/>
      <c r="M375" s="68"/>
    </row>
    <row r="376" spans="1:13">
      <c r="A376" s="321" t="s">
        <v>398</v>
      </c>
      <c r="B376" s="56">
        <v>0</v>
      </c>
      <c r="C376" s="58"/>
      <c r="D376" s="58">
        <v>247062</v>
      </c>
      <c r="E376" s="56">
        <f t="shared" si="23"/>
        <v>247062</v>
      </c>
      <c r="F376" s="58">
        <v>0</v>
      </c>
      <c r="G376" s="57">
        <f t="shared" si="24"/>
        <v>247062</v>
      </c>
      <c r="J376" s="57"/>
      <c r="K376" s="68"/>
      <c r="L376" s="68"/>
      <c r="M376" s="68"/>
    </row>
    <row r="377" spans="1:13">
      <c r="A377" s="321" t="s">
        <v>399</v>
      </c>
      <c r="B377" s="56">
        <v>0</v>
      </c>
      <c r="C377" s="58"/>
      <c r="D377" s="58">
        <v>274974</v>
      </c>
      <c r="E377" s="56">
        <f t="shared" si="23"/>
        <v>274974</v>
      </c>
      <c r="F377" s="58">
        <v>0</v>
      </c>
      <c r="G377" s="57">
        <f t="shared" si="24"/>
        <v>274974</v>
      </c>
      <c r="J377" s="57"/>
      <c r="K377" s="68"/>
      <c r="L377" s="68"/>
      <c r="M377" s="68"/>
    </row>
    <row r="378" spans="1:13">
      <c r="A378" s="321" t="s">
        <v>278</v>
      </c>
      <c r="B378" s="56">
        <v>274841</v>
      </c>
      <c r="C378" s="58">
        <v>121750</v>
      </c>
      <c r="D378" s="58">
        <v>290425</v>
      </c>
      <c r="E378" s="56">
        <f t="shared" si="23"/>
        <v>443516</v>
      </c>
      <c r="F378" s="58">
        <v>153091</v>
      </c>
      <c r="G378" s="57">
        <f t="shared" si="24"/>
        <v>290425</v>
      </c>
      <c r="J378" s="57"/>
      <c r="K378" s="68"/>
      <c r="L378" s="68"/>
      <c r="M378" s="68"/>
    </row>
    <row r="379" spans="1:13">
      <c r="A379" s="321" t="s">
        <v>407</v>
      </c>
      <c r="B379" s="56">
        <v>22762958</v>
      </c>
      <c r="C379" s="58"/>
      <c r="D379" s="58"/>
      <c r="E379" s="56">
        <f t="shared" si="23"/>
        <v>22762958</v>
      </c>
      <c r="F379" s="58">
        <v>0</v>
      </c>
      <c r="G379" s="57">
        <f t="shared" si="24"/>
        <v>22762958</v>
      </c>
      <c r="J379" s="57"/>
      <c r="K379" s="68"/>
      <c r="L379" s="68"/>
      <c r="M379" s="68"/>
    </row>
    <row r="380" spans="1:13">
      <c r="A380" s="322" t="s">
        <v>439</v>
      </c>
      <c r="B380" s="59">
        <f t="shared" ref="B380:G380" si="25">SUM(B374:B379)</f>
        <v>23230391</v>
      </c>
      <c r="C380" s="59">
        <f t="shared" si="25"/>
        <v>121750</v>
      </c>
      <c r="D380" s="59">
        <f t="shared" si="25"/>
        <v>812461</v>
      </c>
      <c r="E380" s="59">
        <f t="shared" si="25"/>
        <v>23921102</v>
      </c>
      <c r="F380" s="59">
        <f t="shared" si="25"/>
        <v>345683</v>
      </c>
      <c r="G380" s="59">
        <f t="shared" si="25"/>
        <v>23575419</v>
      </c>
      <c r="J380" s="59"/>
      <c r="K380" s="68"/>
      <c r="L380" s="68"/>
      <c r="M380" s="68"/>
    </row>
    <row r="381" spans="1:13">
      <c r="A381" s="321"/>
      <c r="B381" s="56"/>
      <c r="C381" s="58"/>
      <c r="D381" s="56"/>
      <c r="E381" s="56"/>
      <c r="F381" s="56"/>
      <c r="G381" s="57"/>
      <c r="J381" s="57"/>
      <c r="K381" s="68"/>
      <c r="L381" s="68"/>
      <c r="M381" s="68"/>
    </row>
    <row r="382" spans="1:13">
      <c r="A382" s="324" t="s">
        <v>10</v>
      </c>
      <c r="B382" s="56"/>
      <c r="C382" s="58"/>
      <c r="D382" s="56"/>
      <c r="E382" s="56"/>
      <c r="F382" s="56"/>
      <c r="G382" s="57"/>
      <c r="J382" s="57"/>
      <c r="K382" s="68"/>
      <c r="L382" s="68"/>
      <c r="M382" s="68"/>
    </row>
    <row r="383" spans="1:13">
      <c r="A383" s="321" t="s">
        <v>396</v>
      </c>
      <c r="B383" s="56">
        <v>6903</v>
      </c>
      <c r="C383" s="58"/>
      <c r="D383" s="58"/>
      <c r="E383" s="56">
        <f>B383-C383+D383</f>
        <v>6903</v>
      </c>
      <c r="F383" s="58">
        <v>6903</v>
      </c>
      <c r="G383" s="57">
        <f>E383-F383</f>
        <v>0</v>
      </c>
      <c r="J383" s="57"/>
      <c r="K383" s="68"/>
      <c r="L383" s="68"/>
      <c r="M383" s="68"/>
    </row>
    <row r="384" spans="1:13">
      <c r="A384" s="321" t="s">
        <v>399</v>
      </c>
      <c r="B384" s="56">
        <v>0</v>
      </c>
      <c r="C384" s="58"/>
      <c r="D384" s="58">
        <v>4470</v>
      </c>
      <c r="E384" s="56">
        <f>B384-C384+D384</f>
        <v>4470</v>
      </c>
      <c r="F384" s="58">
        <v>0</v>
      </c>
      <c r="G384" s="57">
        <f>E384-F384</f>
        <v>4470</v>
      </c>
      <c r="J384" s="57"/>
      <c r="K384" s="68"/>
      <c r="L384" s="68"/>
      <c r="M384" s="68"/>
    </row>
    <row r="385" spans="1:13">
      <c r="A385" s="321" t="s">
        <v>278</v>
      </c>
      <c r="B385" s="56">
        <v>4426</v>
      </c>
      <c r="C385" s="58"/>
      <c r="D385" s="58"/>
      <c r="E385" s="56">
        <f>B385-C385+D385</f>
        <v>4426</v>
      </c>
      <c r="F385" s="58">
        <v>4426</v>
      </c>
      <c r="G385" s="57">
        <f>E385-F385</f>
        <v>0</v>
      </c>
      <c r="J385" s="57"/>
      <c r="K385" s="68"/>
      <c r="L385" s="68"/>
      <c r="M385" s="68"/>
    </row>
    <row r="386" spans="1:13">
      <c r="A386" s="322" t="s">
        <v>439</v>
      </c>
      <c r="B386" s="59">
        <f t="shared" ref="B386:G386" si="26">SUM(B383:B385)</f>
        <v>11329</v>
      </c>
      <c r="C386" s="59">
        <f t="shared" si="26"/>
        <v>0</v>
      </c>
      <c r="D386" s="59">
        <f t="shared" si="26"/>
        <v>4470</v>
      </c>
      <c r="E386" s="59">
        <f t="shared" si="26"/>
        <v>15799</v>
      </c>
      <c r="F386" s="59">
        <f t="shared" si="26"/>
        <v>11329</v>
      </c>
      <c r="G386" s="59">
        <f t="shared" si="26"/>
        <v>4470</v>
      </c>
      <c r="J386" s="59"/>
      <c r="K386" s="68"/>
      <c r="L386" s="68"/>
      <c r="M386" s="68"/>
    </row>
    <row r="387" spans="1:13">
      <c r="A387" s="321"/>
      <c r="B387" s="56"/>
      <c r="C387" s="58"/>
      <c r="D387" s="56"/>
      <c r="E387" s="56"/>
      <c r="F387" s="56"/>
      <c r="G387" s="57"/>
      <c r="J387" s="57"/>
      <c r="K387" s="68"/>
      <c r="L387" s="68"/>
      <c r="M387" s="68"/>
    </row>
    <row r="388" spans="1:13">
      <c r="A388" s="60" t="s">
        <v>11</v>
      </c>
      <c r="B388" s="56"/>
      <c r="C388" s="58"/>
      <c r="D388" s="56"/>
      <c r="E388" s="56"/>
      <c r="F388" s="56"/>
      <c r="G388" s="57"/>
      <c r="J388" s="57"/>
      <c r="K388" s="68"/>
      <c r="L388" s="68"/>
      <c r="M388" s="68"/>
    </row>
    <row r="389" spans="1:13">
      <c r="A389" s="321" t="s">
        <v>396</v>
      </c>
      <c r="B389" s="56">
        <v>173839</v>
      </c>
      <c r="C389" s="58"/>
      <c r="D389" s="58"/>
      <c r="E389" s="56">
        <f>B389-C389+D389</f>
        <v>173839</v>
      </c>
      <c r="F389" s="58">
        <v>173839</v>
      </c>
      <c r="G389" s="57">
        <f>E389-F389</f>
        <v>0</v>
      </c>
      <c r="J389" s="57"/>
      <c r="K389" s="68"/>
      <c r="L389" s="68"/>
      <c r="M389" s="68"/>
    </row>
    <row r="390" spans="1:13">
      <c r="A390" s="321" t="s">
        <v>278</v>
      </c>
      <c r="B390" s="56">
        <v>124390</v>
      </c>
      <c r="C390" s="58"/>
      <c r="D390" s="58">
        <v>166157</v>
      </c>
      <c r="E390" s="56">
        <f>B390-C390+D390</f>
        <v>290547</v>
      </c>
      <c r="F390" s="58">
        <v>124390</v>
      </c>
      <c r="G390" s="57">
        <f>E390-F390</f>
        <v>166157</v>
      </c>
      <c r="J390" s="57"/>
      <c r="K390" s="68"/>
      <c r="L390" s="68"/>
      <c r="M390" s="68"/>
    </row>
    <row r="391" spans="1:13">
      <c r="A391" s="321" t="s">
        <v>407</v>
      </c>
      <c r="B391" s="56">
        <v>340120</v>
      </c>
      <c r="C391" s="58"/>
      <c r="D391" s="58"/>
      <c r="E391" s="56">
        <f>B391-C391+D391</f>
        <v>340120</v>
      </c>
      <c r="F391" s="58">
        <v>0</v>
      </c>
      <c r="G391" s="57">
        <f>E391-F391</f>
        <v>340120</v>
      </c>
      <c r="J391" s="57"/>
      <c r="K391" s="68"/>
      <c r="L391" s="68"/>
      <c r="M391" s="68"/>
    </row>
    <row r="392" spans="1:13">
      <c r="A392" s="322" t="s">
        <v>439</v>
      </c>
      <c r="B392" s="59">
        <f t="shared" ref="B392:G392" si="27">SUM(B389:B391)</f>
        <v>638349</v>
      </c>
      <c r="C392" s="59">
        <f t="shared" si="27"/>
        <v>0</v>
      </c>
      <c r="D392" s="59">
        <f t="shared" si="27"/>
        <v>166157</v>
      </c>
      <c r="E392" s="59">
        <f t="shared" si="27"/>
        <v>804506</v>
      </c>
      <c r="F392" s="59">
        <f t="shared" si="27"/>
        <v>298229</v>
      </c>
      <c r="G392" s="59">
        <f t="shared" si="27"/>
        <v>506277</v>
      </c>
      <c r="J392" s="59"/>
      <c r="K392" s="68"/>
      <c r="L392" s="68"/>
      <c r="M392" s="68"/>
    </row>
    <row r="393" spans="1:13">
      <c r="A393" s="321"/>
      <c r="B393" s="56"/>
      <c r="C393" s="58"/>
      <c r="D393" s="56"/>
      <c r="E393" s="56"/>
      <c r="F393" s="56"/>
      <c r="G393" s="57"/>
      <c r="J393" s="57"/>
      <c r="K393" s="68"/>
      <c r="L393" s="68"/>
      <c r="M393" s="68"/>
    </row>
    <row r="394" spans="1:13">
      <c r="A394" s="60" t="s">
        <v>290</v>
      </c>
      <c r="B394" s="56"/>
      <c r="C394" s="58"/>
      <c r="D394" s="56"/>
      <c r="E394" s="56"/>
      <c r="F394" s="56"/>
      <c r="G394" s="57"/>
      <c r="J394" s="57"/>
      <c r="K394" s="68"/>
      <c r="L394" s="68"/>
      <c r="M394" s="68"/>
    </row>
    <row r="395" spans="1:13">
      <c r="A395" s="321" t="s">
        <v>407</v>
      </c>
      <c r="B395" s="56">
        <v>1357464</v>
      </c>
      <c r="C395" s="58">
        <v>274953</v>
      </c>
      <c r="D395" s="58"/>
      <c r="E395" s="56">
        <f>B395-C395+D395</f>
        <v>1082511</v>
      </c>
      <c r="F395" s="58">
        <v>0</v>
      </c>
      <c r="G395" s="57">
        <f>E395-F395</f>
        <v>1082511</v>
      </c>
      <c r="J395" s="57"/>
      <c r="K395" s="68"/>
      <c r="L395" s="68"/>
      <c r="M395" s="68"/>
    </row>
    <row r="396" spans="1:13">
      <c r="A396" s="322" t="s">
        <v>439</v>
      </c>
      <c r="B396" s="59">
        <f t="shared" ref="B396:G396" si="28">SUM(B395:B395)</f>
        <v>1357464</v>
      </c>
      <c r="C396" s="59">
        <f t="shared" si="28"/>
        <v>274953</v>
      </c>
      <c r="D396" s="59">
        <f t="shared" si="28"/>
        <v>0</v>
      </c>
      <c r="E396" s="59">
        <f t="shared" si="28"/>
        <v>1082511</v>
      </c>
      <c r="F396" s="59">
        <f t="shared" si="28"/>
        <v>0</v>
      </c>
      <c r="G396" s="59">
        <f t="shared" si="28"/>
        <v>1082511</v>
      </c>
      <c r="J396" s="59"/>
      <c r="K396" s="68"/>
      <c r="L396" s="68"/>
      <c r="M396" s="68"/>
    </row>
    <row r="397" spans="1:13">
      <c r="A397" s="321"/>
      <c r="B397" s="56"/>
      <c r="C397" s="58"/>
      <c r="D397" s="56"/>
      <c r="E397" s="56"/>
      <c r="F397" s="56"/>
      <c r="G397" s="57"/>
      <c r="J397" s="57"/>
      <c r="K397" s="68"/>
      <c r="L397" s="68"/>
      <c r="M397" s="68"/>
    </row>
    <row r="398" spans="1:13">
      <c r="A398" s="60" t="s">
        <v>291</v>
      </c>
      <c r="B398" s="56"/>
      <c r="C398" s="58"/>
      <c r="D398" s="56"/>
      <c r="E398" s="56"/>
      <c r="F398" s="56"/>
      <c r="G398" s="57"/>
      <c r="J398" s="57"/>
      <c r="K398" s="68"/>
      <c r="L398" s="68"/>
      <c r="M398" s="68"/>
    </row>
    <row r="399" spans="1:13">
      <c r="A399" s="321" t="s">
        <v>407</v>
      </c>
      <c r="B399" s="56">
        <v>600000</v>
      </c>
      <c r="C399" s="58">
        <v>0</v>
      </c>
      <c r="D399" s="56">
        <v>0</v>
      </c>
      <c r="E399" s="56">
        <f>B399-C399+D399</f>
        <v>600000</v>
      </c>
      <c r="F399" s="58">
        <v>0</v>
      </c>
      <c r="G399" s="57">
        <f>E399-F399</f>
        <v>600000</v>
      </c>
      <c r="J399" s="57"/>
      <c r="K399" s="68"/>
      <c r="L399" s="68"/>
      <c r="M399" s="68"/>
    </row>
    <row r="400" spans="1:13">
      <c r="A400" s="322" t="s">
        <v>439</v>
      </c>
      <c r="B400" s="59">
        <f t="shared" ref="B400:G400" si="29">SUM(B399:B399)</f>
        <v>600000</v>
      </c>
      <c r="C400" s="59">
        <f t="shared" si="29"/>
        <v>0</v>
      </c>
      <c r="D400" s="59">
        <f t="shared" si="29"/>
        <v>0</v>
      </c>
      <c r="E400" s="59">
        <f t="shared" si="29"/>
        <v>600000</v>
      </c>
      <c r="F400" s="59">
        <f t="shared" si="29"/>
        <v>0</v>
      </c>
      <c r="G400" s="59">
        <f t="shared" si="29"/>
        <v>600000</v>
      </c>
      <c r="J400" s="59"/>
      <c r="K400" s="68"/>
      <c r="L400" s="68"/>
      <c r="M400" s="68"/>
    </row>
    <row r="401" spans="1:13">
      <c r="A401" s="321"/>
      <c r="B401" s="56"/>
      <c r="C401" s="58"/>
      <c r="D401" s="56"/>
      <c r="E401" s="56"/>
      <c r="F401" s="56"/>
      <c r="G401" s="57"/>
      <c r="J401" s="57"/>
      <c r="K401" s="68"/>
      <c r="L401" s="68"/>
      <c r="M401" s="68"/>
    </row>
    <row r="402" spans="1:13">
      <c r="A402" s="60" t="s">
        <v>578</v>
      </c>
      <c r="B402" s="56"/>
      <c r="C402" s="58"/>
      <c r="D402" s="56"/>
      <c r="E402" s="56"/>
      <c r="F402" s="56"/>
      <c r="G402" s="57"/>
      <c r="J402" s="57"/>
      <c r="K402" s="68"/>
      <c r="L402" s="68"/>
      <c r="M402" s="68"/>
    </row>
    <row r="403" spans="1:13">
      <c r="A403" s="321" t="s">
        <v>396</v>
      </c>
      <c r="B403" s="56">
        <v>349144</v>
      </c>
      <c r="C403" s="58"/>
      <c r="D403" s="58">
        <v>2114131</v>
      </c>
      <c r="E403" s="56">
        <f t="shared" ref="E403:E409" si="30">B403-C403+D403</f>
        <v>2463275</v>
      </c>
      <c r="F403" s="58">
        <v>349144</v>
      </c>
      <c r="G403" s="57">
        <f t="shared" ref="G403:G409" si="31">E403-F403</f>
        <v>2114131</v>
      </c>
      <c r="J403" s="57"/>
      <c r="K403" s="68"/>
      <c r="L403" s="68"/>
      <c r="M403" s="68"/>
    </row>
    <row r="404" spans="1:13">
      <c r="A404" s="321" t="s">
        <v>394</v>
      </c>
      <c r="B404" s="56">
        <v>182675</v>
      </c>
      <c r="C404" s="58"/>
      <c r="D404" s="58">
        <v>194113</v>
      </c>
      <c r="E404" s="56">
        <f t="shared" si="30"/>
        <v>376788</v>
      </c>
      <c r="F404" s="58">
        <v>182675</v>
      </c>
      <c r="G404" s="57">
        <f t="shared" si="31"/>
        <v>194113</v>
      </c>
      <c r="J404" s="57"/>
      <c r="K404" s="68"/>
      <c r="L404" s="68"/>
      <c r="M404" s="68"/>
    </row>
    <row r="405" spans="1:13">
      <c r="A405" s="321" t="s">
        <v>398</v>
      </c>
      <c r="B405" s="56">
        <v>22572</v>
      </c>
      <c r="C405" s="58"/>
      <c r="D405" s="58">
        <v>22572</v>
      </c>
      <c r="E405" s="56">
        <f t="shared" si="30"/>
        <v>45144</v>
      </c>
      <c r="F405" s="58">
        <v>22572</v>
      </c>
      <c r="G405" s="57">
        <f t="shared" si="31"/>
        <v>22572</v>
      </c>
      <c r="J405" s="57"/>
      <c r="K405" s="68"/>
      <c r="L405" s="68"/>
      <c r="M405" s="68"/>
    </row>
    <row r="406" spans="1:13">
      <c r="A406" s="321" t="s">
        <v>371</v>
      </c>
      <c r="B406" s="56">
        <v>203556</v>
      </c>
      <c r="C406" s="58"/>
      <c r="D406" s="58"/>
      <c r="E406" s="56">
        <f t="shared" si="30"/>
        <v>203556</v>
      </c>
      <c r="F406" s="58">
        <v>203556</v>
      </c>
      <c r="G406" s="57">
        <f t="shared" si="31"/>
        <v>0</v>
      </c>
      <c r="J406" s="57"/>
      <c r="K406" s="68"/>
      <c r="L406" s="68"/>
      <c r="M406" s="68"/>
    </row>
    <row r="407" spans="1:13">
      <c r="A407" s="321" t="s">
        <v>278</v>
      </c>
      <c r="B407" s="56">
        <v>241396</v>
      </c>
      <c r="C407" s="58"/>
      <c r="D407" s="58">
        <v>237427</v>
      </c>
      <c r="E407" s="56">
        <f t="shared" si="30"/>
        <v>478823</v>
      </c>
      <c r="F407" s="58">
        <v>241396</v>
      </c>
      <c r="G407" s="57">
        <f t="shared" si="31"/>
        <v>237427</v>
      </c>
      <c r="J407" s="57"/>
      <c r="K407" s="68"/>
      <c r="L407" s="68"/>
      <c r="M407" s="68"/>
    </row>
    <row r="408" spans="1:13">
      <c r="A408" s="321" t="s">
        <v>407</v>
      </c>
      <c r="B408" s="56">
        <v>4374157</v>
      </c>
      <c r="C408" s="58">
        <v>3037121</v>
      </c>
      <c r="D408" s="58"/>
      <c r="E408" s="56">
        <f t="shared" si="30"/>
        <v>1337036</v>
      </c>
      <c r="F408" s="58">
        <v>0</v>
      </c>
      <c r="G408" s="57">
        <f t="shared" si="31"/>
        <v>1337036</v>
      </c>
      <c r="J408" s="57"/>
      <c r="K408" s="68"/>
      <c r="L408" s="68"/>
      <c r="M408" s="68"/>
    </row>
    <row r="409" spans="1:13">
      <c r="A409" s="321" t="s">
        <v>579</v>
      </c>
      <c r="B409" s="56">
        <v>118992</v>
      </c>
      <c r="C409" s="58"/>
      <c r="D409" s="58">
        <v>114844</v>
      </c>
      <c r="E409" s="56">
        <f t="shared" si="30"/>
        <v>233836</v>
      </c>
      <c r="F409" s="58">
        <v>118992</v>
      </c>
      <c r="G409" s="57">
        <f t="shared" si="31"/>
        <v>114844</v>
      </c>
      <c r="J409" s="57"/>
      <c r="K409" s="68"/>
      <c r="L409" s="68"/>
      <c r="M409" s="68"/>
    </row>
    <row r="410" spans="1:13">
      <c r="A410" s="322" t="s">
        <v>439</v>
      </c>
      <c r="B410" s="59">
        <f t="shared" ref="B410:G410" si="32">SUM(B403:B409)</f>
        <v>5492492</v>
      </c>
      <c r="C410" s="59">
        <f t="shared" si="32"/>
        <v>3037121</v>
      </c>
      <c r="D410" s="59">
        <f t="shared" si="32"/>
        <v>2683087</v>
      </c>
      <c r="E410" s="59">
        <f t="shared" si="32"/>
        <v>5138458</v>
      </c>
      <c r="F410" s="59">
        <f t="shared" si="32"/>
        <v>1118335</v>
      </c>
      <c r="G410" s="59">
        <f t="shared" si="32"/>
        <v>4020123</v>
      </c>
      <c r="J410" s="59"/>
      <c r="K410" s="68"/>
      <c r="L410" s="68"/>
      <c r="M410" s="68"/>
    </row>
    <row r="411" spans="1:13">
      <c r="A411" s="321"/>
      <c r="B411" s="56"/>
      <c r="C411" s="58"/>
      <c r="D411" s="56"/>
      <c r="E411" s="56"/>
      <c r="F411" s="56"/>
      <c r="G411" s="57"/>
      <c r="J411" s="57"/>
      <c r="K411" s="68"/>
      <c r="L411" s="68"/>
      <c r="M411" s="68"/>
    </row>
    <row r="412" spans="1:13">
      <c r="A412" s="60" t="s">
        <v>580</v>
      </c>
      <c r="B412" s="56"/>
      <c r="C412" s="58"/>
      <c r="D412" s="56"/>
      <c r="E412" s="56"/>
      <c r="F412" s="56"/>
      <c r="G412" s="57"/>
      <c r="J412" s="57"/>
      <c r="K412" s="68"/>
      <c r="L412" s="68"/>
      <c r="M412" s="68"/>
    </row>
    <row r="413" spans="1:13">
      <c r="A413" s="321" t="s">
        <v>394</v>
      </c>
      <c r="B413" s="56">
        <v>1617307</v>
      </c>
      <c r="C413" s="58">
        <v>0</v>
      </c>
      <c r="D413" s="58">
        <v>1500877</v>
      </c>
      <c r="E413" s="56">
        <f>B413-C413+D413</f>
        <v>3118184</v>
      </c>
      <c r="F413" s="58">
        <v>1617307</v>
      </c>
      <c r="G413" s="57">
        <f>E413-F413</f>
        <v>1500877</v>
      </c>
      <c r="J413" s="57"/>
      <c r="K413" s="68"/>
      <c r="L413" s="68"/>
      <c r="M413" s="68"/>
    </row>
    <row r="414" spans="1:13">
      <c r="A414" s="321" t="s">
        <v>407</v>
      </c>
      <c r="B414" s="56">
        <v>32115343</v>
      </c>
      <c r="C414" s="58">
        <v>0</v>
      </c>
      <c r="D414" s="58">
        <v>0</v>
      </c>
      <c r="E414" s="56">
        <f>B414-C414+D414</f>
        <v>32115343</v>
      </c>
      <c r="F414" s="58">
        <v>0</v>
      </c>
      <c r="G414" s="57">
        <f>E414-F414</f>
        <v>32115343</v>
      </c>
      <c r="J414" s="57"/>
      <c r="K414" s="68"/>
      <c r="L414" s="68"/>
      <c r="M414" s="68"/>
    </row>
    <row r="415" spans="1:13">
      <c r="A415" s="322" t="s">
        <v>439</v>
      </c>
      <c r="B415" s="59">
        <f t="shared" ref="B415:G415" si="33">SUM(B413:B414)</f>
        <v>33732650</v>
      </c>
      <c r="C415" s="59">
        <f t="shared" si="33"/>
        <v>0</v>
      </c>
      <c r="D415" s="59">
        <f t="shared" si="33"/>
        <v>1500877</v>
      </c>
      <c r="E415" s="59">
        <f t="shared" si="33"/>
        <v>35233527</v>
      </c>
      <c r="F415" s="59">
        <f t="shared" si="33"/>
        <v>1617307</v>
      </c>
      <c r="G415" s="59">
        <f t="shared" si="33"/>
        <v>33616220</v>
      </c>
      <c r="J415" s="59"/>
      <c r="K415" s="68"/>
      <c r="L415" s="68"/>
      <c r="M415" s="68"/>
    </row>
    <row r="416" spans="1:13">
      <c r="A416" s="321"/>
      <c r="B416" s="56"/>
      <c r="C416" s="58"/>
      <c r="D416" s="56"/>
      <c r="E416" s="56"/>
      <c r="F416" s="56"/>
      <c r="G416" s="57"/>
      <c r="J416" s="57"/>
      <c r="K416" s="68"/>
      <c r="L416" s="68"/>
      <c r="M416" s="68"/>
    </row>
    <row r="417" spans="1:13">
      <c r="A417" s="60" t="s">
        <v>581</v>
      </c>
      <c r="B417" s="56"/>
      <c r="C417" s="58"/>
      <c r="D417" s="56"/>
      <c r="E417" s="56"/>
      <c r="F417" s="56"/>
      <c r="G417" s="57"/>
      <c r="J417" s="57"/>
      <c r="K417" s="68"/>
      <c r="L417" s="68"/>
      <c r="M417" s="68"/>
    </row>
    <row r="418" spans="1:13">
      <c r="A418" s="321" t="s">
        <v>405</v>
      </c>
      <c r="B418" s="56">
        <v>0</v>
      </c>
      <c r="C418" s="58">
        <v>0</v>
      </c>
      <c r="D418" s="58">
        <v>47630</v>
      </c>
      <c r="E418" s="56">
        <f t="shared" ref="E418:E425" si="34">B418-C418+D418</f>
        <v>47630</v>
      </c>
      <c r="F418" s="58"/>
      <c r="G418" s="57">
        <f t="shared" ref="G418:G424" si="35">E418-F418</f>
        <v>47630</v>
      </c>
      <c r="J418" s="57"/>
      <c r="K418" s="68"/>
      <c r="L418" s="68"/>
      <c r="M418" s="68"/>
    </row>
    <row r="419" spans="1:13">
      <c r="A419" s="321" t="s">
        <v>396</v>
      </c>
      <c r="B419" s="56">
        <v>246848</v>
      </c>
      <c r="C419" s="58"/>
      <c r="D419" s="58">
        <v>145386</v>
      </c>
      <c r="E419" s="56">
        <f t="shared" si="34"/>
        <v>392234</v>
      </c>
      <c r="F419" s="58">
        <v>246848</v>
      </c>
      <c r="G419" s="57">
        <f t="shared" si="35"/>
        <v>145386</v>
      </c>
      <c r="J419" s="57"/>
      <c r="K419" s="68"/>
      <c r="L419" s="68"/>
      <c r="M419" s="68"/>
    </row>
    <row r="420" spans="1:13">
      <c r="A420" s="321" t="s">
        <v>394</v>
      </c>
      <c r="B420" s="56">
        <v>544292</v>
      </c>
      <c r="C420" s="58"/>
      <c r="D420" s="58">
        <v>308165</v>
      </c>
      <c r="E420" s="56">
        <f t="shared" si="34"/>
        <v>852457</v>
      </c>
      <c r="F420" s="58">
        <v>544292</v>
      </c>
      <c r="G420" s="57">
        <f t="shared" si="35"/>
        <v>308165</v>
      </c>
      <c r="J420" s="57"/>
      <c r="K420" s="68"/>
      <c r="L420" s="68"/>
      <c r="M420" s="68"/>
    </row>
    <row r="421" spans="1:13">
      <c r="A421" s="321" t="s">
        <v>371</v>
      </c>
      <c r="B421" s="56">
        <v>151720</v>
      </c>
      <c r="C421" s="58"/>
      <c r="D421" s="58"/>
      <c r="E421" s="56">
        <f t="shared" si="34"/>
        <v>151720</v>
      </c>
      <c r="F421" s="58">
        <v>151720</v>
      </c>
      <c r="G421" s="57">
        <f>E421-F421</f>
        <v>0</v>
      </c>
      <c r="J421" s="57"/>
      <c r="K421" s="68"/>
      <c r="L421" s="68"/>
      <c r="M421" s="68"/>
    </row>
    <row r="422" spans="1:13">
      <c r="A422" s="321" t="s">
        <v>398</v>
      </c>
      <c r="B422" s="56">
        <v>34023</v>
      </c>
      <c r="C422" s="58"/>
      <c r="D422" s="58">
        <v>30000</v>
      </c>
      <c r="E422" s="56">
        <f t="shared" si="34"/>
        <v>64023</v>
      </c>
      <c r="F422" s="58">
        <v>34023</v>
      </c>
      <c r="G422" s="57">
        <f t="shared" si="35"/>
        <v>30000</v>
      </c>
      <c r="J422" s="57"/>
      <c r="K422" s="68"/>
      <c r="L422" s="68"/>
      <c r="M422" s="68"/>
    </row>
    <row r="423" spans="1:13">
      <c r="A423" s="321" t="s">
        <v>399</v>
      </c>
      <c r="B423" s="56">
        <v>245116</v>
      </c>
      <c r="C423" s="58"/>
      <c r="D423" s="58">
        <v>31792</v>
      </c>
      <c r="E423" s="56">
        <f t="shared" si="34"/>
        <v>276908</v>
      </c>
      <c r="F423" s="58">
        <v>245116</v>
      </c>
      <c r="G423" s="57">
        <f t="shared" si="35"/>
        <v>31792</v>
      </c>
      <c r="J423" s="57"/>
      <c r="K423" s="68"/>
      <c r="L423" s="68"/>
      <c r="M423" s="68"/>
    </row>
    <row r="424" spans="1:13">
      <c r="A424" s="321" t="s">
        <v>278</v>
      </c>
      <c r="B424" s="56">
        <v>804910</v>
      </c>
      <c r="C424" s="58"/>
      <c r="D424" s="58">
        <v>666620</v>
      </c>
      <c r="E424" s="56">
        <f t="shared" si="34"/>
        <v>1471530</v>
      </c>
      <c r="F424" s="58">
        <v>804910</v>
      </c>
      <c r="G424" s="57">
        <f t="shared" si="35"/>
        <v>666620</v>
      </c>
      <c r="J424" s="57"/>
      <c r="K424" s="68"/>
      <c r="L424" s="68"/>
      <c r="M424" s="68"/>
    </row>
    <row r="425" spans="1:13">
      <c r="A425" s="321" t="s">
        <v>407</v>
      </c>
      <c r="B425" s="56">
        <v>2455975</v>
      </c>
      <c r="C425" s="58">
        <v>705975</v>
      </c>
      <c r="D425" s="58">
        <v>0</v>
      </c>
      <c r="E425" s="56">
        <f t="shared" si="34"/>
        <v>1750000</v>
      </c>
      <c r="F425" s="58"/>
      <c r="G425" s="57">
        <f>E425-F425</f>
        <v>1750000</v>
      </c>
      <c r="J425" s="57"/>
      <c r="K425" s="68"/>
      <c r="L425" s="68"/>
      <c r="M425" s="68"/>
    </row>
    <row r="426" spans="1:13">
      <c r="A426" s="322" t="s">
        <v>439</v>
      </c>
      <c r="B426" s="59">
        <f t="shared" ref="B426:G426" si="36">SUM(B418:B425)</f>
        <v>4482884</v>
      </c>
      <c r="C426" s="59">
        <f t="shared" si="36"/>
        <v>705975</v>
      </c>
      <c r="D426" s="59">
        <f t="shared" si="36"/>
        <v>1229593</v>
      </c>
      <c r="E426" s="59">
        <f t="shared" si="36"/>
        <v>5006502</v>
      </c>
      <c r="F426" s="59">
        <f t="shared" si="36"/>
        <v>2026909</v>
      </c>
      <c r="G426" s="59">
        <f t="shared" si="36"/>
        <v>2979593</v>
      </c>
      <c r="J426" s="59"/>
      <c r="K426" s="68"/>
      <c r="L426" s="68"/>
      <c r="M426" s="68"/>
    </row>
    <row r="427" spans="1:13">
      <c r="A427" s="321"/>
      <c r="B427" s="56"/>
      <c r="C427" s="58"/>
      <c r="D427" s="56"/>
      <c r="E427" s="56"/>
      <c r="F427" s="56"/>
      <c r="G427" s="57" t="s">
        <v>544</v>
      </c>
      <c r="J427" s="57"/>
      <c r="K427" s="68"/>
      <c r="L427" s="68"/>
      <c r="M427" s="68"/>
    </row>
    <row r="428" spans="1:13">
      <c r="A428" s="324" t="s">
        <v>582</v>
      </c>
      <c r="B428" s="56"/>
      <c r="C428" s="58"/>
      <c r="D428" s="56"/>
      <c r="E428" s="56"/>
      <c r="F428" s="56"/>
      <c r="G428" s="57" t="s">
        <v>544</v>
      </c>
      <c r="J428" s="57"/>
      <c r="K428" s="68"/>
      <c r="L428" s="68"/>
      <c r="M428" s="68"/>
    </row>
    <row r="429" spans="1:13">
      <c r="A429" s="321" t="s">
        <v>399</v>
      </c>
      <c r="B429" s="56">
        <v>0</v>
      </c>
      <c r="C429" s="58"/>
      <c r="D429" s="58">
        <v>3400</v>
      </c>
      <c r="E429" s="56">
        <f>B429-C429+D429</f>
        <v>3400</v>
      </c>
      <c r="F429" s="58"/>
      <c r="G429" s="57">
        <f>E429-F429</f>
        <v>3400</v>
      </c>
      <c r="J429" s="57"/>
      <c r="K429" s="68"/>
      <c r="L429" s="68"/>
      <c r="M429" s="68"/>
    </row>
    <row r="430" spans="1:13">
      <c r="A430" s="321" t="s">
        <v>278</v>
      </c>
      <c r="B430" s="56">
        <v>17704</v>
      </c>
      <c r="C430" s="58"/>
      <c r="D430" s="58"/>
      <c r="E430" s="56">
        <f>B430-C430+D430</f>
        <v>17704</v>
      </c>
      <c r="F430" s="58">
        <v>17704</v>
      </c>
      <c r="G430" s="57">
        <f>E430-F430</f>
        <v>0</v>
      </c>
      <c r="J430" s="57"/>
      <c r="K430" s="68"/>
      <c r="L430" s="68"/>
      <c r="M430" s="68"/>
    </row>
    <row r="431" spans="1:13">
      <c r="A431" s="322" t="s">
        <v>439</v>
      </c>
      <c r="B431" s="59">
        <f t="shared" ref="B431:G431" si="37">SUM(B429:B430)</f>
        <v>17704</v>
      </c>
      <c r="C431" s="59">
        <f t="shared" si="37"/>
        <v>0</v>
      </c>
      <c r="D431" s="59">
        <f t="shared" si="37"/>
        <v>3400</v>
      </c>
      <c r="E431" s="59">
        <f t="shared" si="37"/>
        <v>21104</v>
      </c>
      <c r="F431" s="59">
        <f t="shared" si="37"/>
        <v>17704</v>
      </c>
      <c r="G431" s="59">
        <f t="shared" si="37"/>
        <v>3400</v>
      </c>
      <c r="J431" s="59"/>
      <c r="K431" s="68"/>
      <c r="L431" s="68"/>
      <c r="M431" s="68"/>
    </row>
    <row r="432" spans="1:13">
      <c r="A432" s="321"/>
      <c r="B432" s="56"/>
      <c r="C432" s="58"/>
      <c r="D432" s="56"/>
      <c r="E432" s="56"/>
      <c r="F432" s="56"/>
      <c r="G432" s="57" t="s">
        <v>544</v>
      </c>
      <c r="J432" s="57"/>
      <c r="K432" s="68"/>
      <c r="L432" s="68"/>
      <c r="M432" s="68"/>
    </row>
    <row r="433" spans="1:13">
      <c r="A433" s="60" t="s">
        <v>583</v>
      </c>
      <c r="B433" s="56"/>
      <c r="C433" s="58"/>
      <c r="D433" s="56"/>
      <c r="E433" s="56"/>
      <c r="F433" s="56"/>
      <c r="G433" s="57" t="s">
        <v>544</v>
      </c>
      <c r="J433" s="57"/>
      <c r="K433" s="68"/>
      <c r="L433" s="68"/>
      <c r="M433" s="68"/>
    </row>
    <row r="434" spans="1:13">
      <c r="A434" s="321" t="s">
        <v>396</v>
      </c>
      <c r="B434" s="56">
        <v>228130</v>
      </c>
      <c r="C434" s="58">
        <v>0</v>
      </c>
      <c r="D434" s="58"/>
      <c r="E434" s="56">
        <f>B434-C434+D434</f>
        <v>228130</v>
      </c>
      <c r="F434" s="58">
        <v>228130</v>
      </c>
      <c r="G434" s="57">
        <f>E434-F434</f>
        <v>0</v>
      </c>
      <c r="J434" s="57"/>
      <c r="K434" s="68"/>
      <c r="L434" s="68"/>
      <c r="M434" s="68"/>
    </row>
    <row r="435" spans="1:13">
      <c r="A435" s="321" t="s">
        <v>407</v>
      </c>
      <c r="B435" s="56">
        <v>165583</v>
      </c>
      <c r="C435" s="58">
        <v>0</v>
      </c>
      <c r="D435" s="58">
        <v>0</v>
      </c>
      <c r="E435" s="56">
        <f>B435-C435+D435</f>
        <v>165583</v>
      </c>
      <c r="F435" s="56">
        <v>0</v>
      </c>
      <c r="G435" s="57">
        <f>E435-F435</f>
        <v>165583</v>
      </c>
      <c r="J435" s="57"/>
      <c r="K435" s="68"/>
      <c r="L435" s="68"/>
      <c r="M435" s="68"/>
    </row>
    <row r="436" spans="1:13">
      <c r="A436" s="322" t="s">
        <v>439</v>
      </c>
      <c r="B436" s="59">
        <f t="shared" ref="B436:G436" si="38">SUM(B434:B435)</f>
        <v>393713</v>
      </c>
      <c r="C436" s="59">
        <f t="shared" si="38"/>
        <v>0</v>
      </c>
      <c r="D436" s="59">
        <f t="shared" si="38"/>
        <v>0</v>
      </c>
      <c r="E436" s="59">
        <f t="shared" si="38"/>
        <v>393713</v>
      </c>
      <c r="F436" s="59">
        <f t="shared" si="38"/>
        <v>228130</v>
      </c>
      <c r="G436" s="59">
        <f t="shared" si="38"/>
        <v>165583</v>
      </c>
      <c r="J436" s="59"/>
      <c r="K436" s="68"/>
      <c r="L436" s="68"/>
      <c r="M436" s="68"/>
    </row>
    <row r="437" spans="1:13">
      <c r="A437" s="60"/>
      <c r="B437" s="56"/>
      <c r="C437" s="58"/>
      <c r="D437" s="56"/>
      <c r="E437" s="56"/>
      <c r="F437" s="56"/>
      <c r="G437" s="57"/>
      <c r="J437" s="57"/>
      <c r="K437" s="68"/>
      <c r="L437" s="68"/>
      <c r="M437" s="68"/>
    </row>
    <row r="438" spans="1:13">
      <c r="A438" s="60" t="s">
        <v>584</v>
      </c>
      <c r="B438" s="56"/>
      <c r="C438" s="58"/>
      <c r="D438" s="56"/>
      <c r="E438" s="56"/>
      <c r="F438" s="56"/>
      <c r="G438" s="57"/>
      <c r="J438" s="57"/>
      <c r="K438" s="68"/>
      <c r="L438" s="68"/>
      <c r="M438" s="68"/>
    </row>
    <row r="439" spans="1:13">
      <c r="A439" s="321" t="s">
        <v>395</v>
      </c>
      <c r="B439" s="56">
        <v>24000</v>
      </c>
      <c r="C439" s="58"/>
      <c r="D439" s="58">
        <v>155076</v>
      </c>
      <c r="E439" s="56">
        <f t="shared" ref="E439:E445" si="39">B439-C439+D439</f>
        <v>179076</v>
      </c>
      <c r="F439" s="58">
        <v>24000</v>
      </c>
      <c r="G439" s="57">
        <f t="shared" ref="G439:G445" si="40">E439-F439</f>
        <v>155076</v>
      </c>
      <c r="J439" s="57"/>
      <c r="K439" s="68"/>
      <c r="L439" s="68"/>
      <c r="M439" s="68"/>
    </row>
    <row r="440" spans="1:13">
      <c r="A440" s="321" t="s">
        <v>405</v>
      </c>
      <c r="B440" s="56">
        <v>0</v>
      </c>
      <c r="C440" s="58"/>
      <c r="D440" s="58">
        <v>148587</v>
      </c>
      <c r="E440" s="56">
        <f t="shared" si="39"/>
        <v>148587</v>
      </c>
      <c r="F440" s="58">
        <v>0</v>
      </c>
      <c r="G440" s="57">
        <f t="shared" si="40"/>
        <v>148587</v>
      </c>
      <c r="J440" s="57"/>
      <c r="K440" s="68"/>
      <c r="L440" s="68"/>
      <c r="M440" s="68"/>
    </row>
    <row r="441" spans="1:13">
      <c r="A441" s="321" t="s">
        <v>396</v>
      </c>
      <c r="B441" s="56">
        <v>1205881</v>
      </c>
      <c r="C441" s="58"/>
      <c r="D441" s="58">
        <v>1268502</v>
      </c>
      <c r="E441" s="56">
        <f t="shared" si="39"/>
        <v>2474383</v>
      </c>
      <c r="F441" s="58">
        <v>1205881</v>
      </c>
      <c r="G441" s="57">
        <f t="shared" si="40"/>
        <v>1268502</v>
      </c>
      <c r="J441" s="57"/>
      <c r="K441" s="68"/>
      <c r="L441" s="68"/>
      <c r="M441" s="68"/>
    </row>
    <row r="442" spans="1:13">
      <c r="A442" s="321" t="s">
        <v>21</v>
      </c>
      <c r="B442" s="56">
        <v>469232</v>
      </c>
      <c r="C442" s="58"/>
      <c r="D442" s="58">
        <v>210118</v>
      </c>
      <c r="E442" s="56">
        <f t="shared" si="39"/>
        <v>679350</v>
      </c>
      <c r="F442" s="58">
        <v>469232</v>
      </c>
      <c r="G442" s="57">
        <f t="shared" si="40"/>
        <v>210118</v>
      </c>
      <c r="J442" s="57"/>
      <c r="K442" s="68"/>
      <c r="L442" s="68"/>
      <c r="M442" s="68"/>
    </row>
    <row r="443" spans="1:13">
      <c r="A443" s="321" t="s">
        <v>399</v>
      </c>
      <c r="B443" s="56">
        <v>713015</v>
      </c>
      <c r="C443" s="58"/>
      <c r="D443" s="58">
        <v>970251</v>
      </c>
      <c r="E443" s="56">
        <f t="shared" si="39"/>
        <v>1683266</v>
      </c>
      <c r="F443" s="58">
        <v>713015</v>
      </c>
      <c r="G443" s="57">
        <f t="shared" si="40"/>
        <v>970251</v>
      </c>
      <c r="J443" s="57"/>
      <c r="K443" s="68"/>
      <c r="L443" s="68"/>
      <c r="M443" s="68"/>
    </row>
    <row r="444" spans="1:13">
      <c r="A444" s="321" t="s">
        <v>278</v>
      </c>
      <c r="B444" s="56">
        <v>64863</v>
      </c>
      <c r="C444" s="58"/>
      <c r="D444" s="58">
        <v>110796</v>
      </c>
      <c r="E444" s="56">
        <f t="shared" si="39"/>
        <v>175659</v>
      </c>
      <c r="F444" s="58">
        <v>64863</v>
      </c>
      <c r="G444" s="57">
        <f t="shared" si="40"/>
        <v>110796</v>
      </c>
      <c r="J444" s="57"/>
      <c r="K444" s="68"/>
      <c r="L444" s="68"/>
      <c r="M444" s="68"/>
    </row>
    <row r="445" spans="1:13">
      <c r="A445" s="321" t="s">
        <v>407</v>
      </c>
      <c r="B445" s="56">
        <v>12207798</v>
      </c>
      <c r="C445" s="58"/>
      <c r="D445" s="58">
        <v>11808241</v>
      </c>
      <c r="E445" s="56">
        <f t="shared" si="39"/>
        <v>24016039</v>
      </c>
      <c r="F445" s="58">
        <v>12206228</v>
      </c>
      <c r="G445" s="57">
        <f t="shared" si="40"/>
        <v>11809811</v>
      </c>
      <c r="J445" s="57"/>
      <c r="K445" s="68"/>
      <c r="L445" s="68"/>
      <c r="M445" s="68"/>
    </row>
    <row r="446" spans="1:13">
      <c r="A446" s="322" t="s">
        <v>439</v>
      </c>
      <c r="B446" s="59">
        <f t="shared" ref="B446:G446" si="41">SUM(B439:B445)</f>
        <v>14684789</v>
      </c>
      <c r="C446" s="59">
        <f t="shared" si="41"/>
        <v>0</v>
      </c>
      <c r="D446" s="59">
        <f t="shared" si="41"/>
        <v>14671571</v>
      </c>
      <c r="E446" s="59">
        <f t="shared" si="41"/>
        <v>29356360</v>
      </c>
      <c r="F446" s="59">
        <f t="shared" si="41"/>
        <v>14683219</v>
      </c>
      <c r="G446" s="59">
        <f t="shared" si="41"/>
        <v>14673141</v>
      </c>
      <c r="J446" s="59"/>
      <c r="K446" s="68"/>
      <c r="L446" s="68"/>
      <c r="M446" s="68"/>
    </row>
    <row r="447" spans="1:13">
      <c r="A447" s="321"/>
      <c r="B447" s="56"/>
      <c r="C447" s="58"/>
      <c r="D447" s="56"/>
      <c r="E447" s="56"/>
      <c r="F447" s="56"/>
      <c r="G447" s="57"/>
      <c r="J447" s="57"/>
      <c r="K447" s="68"/>
      <c r="L447" s="68"/>
      <c r="M447" s="68"/>
    </row>
    <row r="448" spans="1:13">
      <c r="A448" s="60" t="s">
        <v>585</v>
      </c>
      <c r="B448" s="56"/>
      <c r="C448" s="58"/>
      <c r="D448" s="56"/>
      <c r="E448" s="56"/>
      <c r="F448" s="56"/>
      <c r="G448" s="57"/>
      <c r="J448" s="57"/>
      <c r="K448" s="68"/>
      <c r="L448" s="68"/>
      <c r="M448" s="68"/>
    </row>
    <row r="449" spans="1:13">
      <c r="A449" s="321" t="s">
        <v>399</v>
      </c>
      <c r="B449" s="56">
        <v>0</v>
      </c>
      <c r="C449" s="58"/>
      <c r="D449" s="58">
        <v>19576</v>
      </c>
      <c r="E449" s="56">
        <f>B449-C449+D449</f>
        <v>19576</v>
      </c>
      <c r="F449" s="58"/>
      <c r="G449" s="57">
        <f>E449-F449</f>
        <v>19576</v>
      </c>
      <c r="J449" s="57"/>
      <c r="K449" s="68"/>
      <c r="L449" s="68"/>
      <c r="M449" s="68"/>
    </row>
    <row r="450" spans="1:13">
      <c r="A450" s="321" t="s">
        <v>278</v>
      </c>
      <c r="B450" s="56">
        <v>15616</v>
      </c>
      <c r="C450" s="58"/>
      <c r="D450" s="58">
        <v>400</v>
      </c>
      <c r="E450" s="56">
        <f>B450-C450+D450</f>
        <v>16016</v>
      </c>
      <c r="F450" s="58">
        <v>15616</v>
      </c>
      <c r="G450" s="57">
        <f>E450-F450</f>
        <v>400</v>
      </c>
      <c r="J450" s="57"/>
      <c r="K450" s="68"/>
      <c r="L450" s="68"/>
      <c r="M450" s="68"/>
    </row>
    <row r="451" spans="1:13">
      <c r="A451" s="321" t="s">
        <v>407</v>
      </c>
      <c r="B451" s="56">
        <v>998510</v>
      </c>
      <c r="C451" s="58"/>
      <c r="D451" s="58">
        <v>96969</v>
      </c>
      <c r="E451" s="56">
        <f>B451-C451+D451</f>
        <v>1095479</v>
      </c>
      <c r="F451" s="58">
        <v>998510</v>
      </c>
      <c r="G451" s="57">
        <f>E451-F451</f>
        <v>96969</v>
      </c>
      <c r="J451" s="57"/>
      <c r="K451" s="68"/>
      <c r="L451" s="68"/>
      <c r="M451" s="68"/>
    </row>
    <row r="452" spans="1:13">
      <c r="A452" s="322" t="s">
        <v>439</v>
      </c>
      <c r="B452" s="59">
        <f t="shared" ref="B452:G452" si="42">SUM(B449:B451)</f>
        <v>1014126</v>
      </c>
      <c r="C452" s="59">
        <f t="shared" si="42"/>
        <v>0</v>
      </c>
      <c r="D452" s="59">
        <f t="shared" si="42"/>
        <v>116945</v>
      </c>
      <c r="E452" s="59">
        <f t="shared" si="42"/>
        <v>1131071</v>
      </c>
      <c r="F452" s="59">
        <f t="shared" si="42"/>
        <v>1014126</v>
      </c>
      <c r="G452" s="59">
        <f t="shared" si="42"/>
        <v>116945</v>
      </c>
      <c r="J452" s="59"/>
      <c r="K452" s="68"/>
      <c r="L452" s="68"/>
      <c r="M452" s="68"/>
    </row>
    <row r="453" spans="1:13">
      <c r="A453" s="60"/>
      <c r="B453" s="56"/>
      <c r="C453" s="58"/>
      <c r="D453" s="56"/>
      <c r="E453" s="56"/>
      <c r="F453" s="56"/>
      <c r="G453" s="57"/>
      <c r="J453" s="57"/>
      <c r="K453" s="68"/>
      <c r="L453" s="68"/>
      <c r="M453" s="68"/>
    </row>
    <row r="454" spans="1:13">
      <c r="A454" s="60" t="s">
        <v>586</v>
      </c>
      <c r="B454" s="56"/>
      <c r="C454" s="58"/>
      <c r="D454" s="56"/>
      <c r="E454" s="56"/>
      <c r="F454" s="56"/>
      <c r="G454" s="57"/>
      <c r="J454" s="57"/>
      <c r="K454" s="68"/>
      <c r="L454" s="68"/>
      <c r="M454" s="68"/>
    </row>
    <row r="455" spans="1:13">
      <c r="A455" s="321" t="s">
        <v>396</v>
      </c>
      <c r="B455" s="56">
        <v>0</v>
      </c>
      <c r="C455" s="58">
        <v>0</v>
      </c>
      <c r="D455" s="58">
        <v>0</v>
      </c>
      <c r="E455" s="56">
        <f>B455-C455+D455</f>
        <v>0</v>
      </c>
      <c r="F455" s="58"/>
      <c r="G455" s="57">
        <f>E455-F455</f>
        <v>0</v>
      </c>
      <c r="J455" s="57"/>
      <c r="K455" s="68"/>
      <c r="L455" s="68"/>
      <c r="M455" s="68"/>
    </row>
    <row r="456" spans="1:13">
      <c r="A456" s="321" t="s">
        <v>407</v>
      </c>
      <c r="B456" s="56">
        <v>569</v>
      </c>
      <c r="C456" s="58"/>
      <c r="D456" s="58">
        <v>569830</v>
      </c>
      <c r="E456" s="56">
        <f>B456-C456+D456</f>
        <v>570399</v>
      </c>
      <c r="F456" s="58">
        <v>569</v>
      </c>
      <c r="G456" s="57">
        <f>E456-F456</f>
        <v>569830</v>
      </c>
      <c r="J456" s="57"/>
      <c r="K456" s="68"/>
      <c r="L456" s="68"/>
      <c r="M456" s="68"/>
    </row>
    <row r="457" spans="1:13">
      <c r="A457" s="322" t="s">
        <v>439</v>
      </c>
      <c r="B457" s="59">
        <f t="shared" ref="B457:G457" si="43">SUM(B455:B456)</f>
        <v>569</v>
      </c>
      <c r="C457" s="59">
        <f t="shared" si="43"/>
        <v>0</v>
      </c>
      <c r="D457" s="59">
        <f t="shared" si="43"/>
        <v>569830</v>
      </c>
      <c r="E457" s="59">
        <f t="shared" si="43"/>
        <v>570399</v>
      </c>
      <c r="F457" s="59">
        <f t="shared" si="43"/>
        <v>569</v>
      </c>
      <c r="G457" s="59">
        <f t="shared" si="43"/>
        <v>569830</v>
      </c>
      <c r="J457" s="59"/>
      <c r="K457" s="68"/>
      <c r="L457" s="68"/>
      <c r="M457" s="68"/>
    </row>
    <row r="458" spans="1:13">
      <c r="A458" s="322"/>
      <c r="B458" s="59"/>
      <c r="C458" s="59"/>
      <c r="D458" s="59"/>
      <c r="E458" s="59"/>
      <c r="F458" s="59"/>
      <c r="G458" s="59"/>
      <c r="J458" s="59"/>
      <c r="K458" s="68"/>
      <c r="L458" s="68"/>
      <c r="M458" s="68"/>
    </row>
    <row r="459" spans="1:13">
      <c r="A459" s="60" t="s">
        <v>587</v>
      </c>
      <c r="B459" s="59"/>
      <c r="C459" s="59"/>
      <c r="D459" s="59"/>
      <c r="E459" s="59"/>
      <c r="F459" s="59"/>
      <c r="G459" s="59"/>
      <c r="J459" s="59"/>
      <c r="K459" s="68"/>
      <c r="L459" s="68"/>
      <c r="M459" s="68"/>
    </row>
    <row r="460" spans="1:13">
      <c r="A460" s="321" t="s">
        <v>407</v>
      </c>
      <c r="B460" s="59">
        <v>86263</v>
      </c>
      <c r="C460" s="59">
        <v>0</v>
      </c>
      <c r="D460" s="56"/>
      <c r="E460" s="56">
        <f>B460-C460+D460</f>
        <v>86263</v>
      </c>
      <c r="F460" s="59">
        <v>86263</v>
      </c>
      <c r="G460" s="57">
        <f>E460-F460</f>
        <v>0</v>
      </c>
      <c r="J460" s="57"/>
      <c r="K460" s="68"/>
      <c r="L460" s="68"/>
      <c r="M460" s="68"/>
    </row>
    <row r="461" spans="1:13">
      <c r="A461" s="322" t="s">
        <v>439</v>
      </c>
      <c r="B461" s="59">
        <f t="shared" ref="B461:G461" si="44">SUM(B460:B460)</f>
        <v>86263</v>
      </c>
      <c r="C461" s="59">
        <f t="shared" si="44"/>
        <v>0</v>
      </c>
      <c r="D461" s="59">
        <f t="shared" si="44"/>
        <v>0</v>
      </c>
      <c r="E461" s="59">
        <f t="shared" si="44"/>
        <v>86263</v>
      </c>
      <c r="F461" s="59">
        <f t="shared" si="44"/>
        <v>86263</v>
      </c>
      <c r="G461" s="59">
        <f t="shared" si="44"/>
        <v>0</v>
      </c>
      <c r="J461" s="59"/>
      <c r="K461" s="68"/>
      <c r="L461" s="68"/>
      <c r="M461" s="68"/>
    </row>
    <row r="462" spans="1:13">
      <c r="A462" s="60"/>
      <c r="B462" s="56"/>
      <c r="C462" s="58"/>
      <c r="D462" s="56"/>
      <c r="E462" s="56"/>
      <c r="F462" s="56"/>
      <c r="G462" s="57"/>
      <c r="J462" s="57"/>
      <c r="K462" s="68"/>
      <c r="L462" s="68"/>
      <c r="M462" s="68"/>
    </row>
    <row r="463" spans="1:13">
      <c r="A463" s="60" t="s">
        <v>588</v>
      </c>
      <c r="B463" s="56"/>
      <c r="C463" s="58"/>
      <c r="D463" s="56"/>
      <c r="E463" s="56"/>
      <c r="F463" s="56"/>
      <c r="G463" s="57"/>
      <c r="J463" s="57"/>
      <c r="K463" s="68"/>
      <c r="L463" s="68"/>
      <c r="M463" s="68"/>
    </row>
    <row r="464" spans="1:13">
      <c r="A464" s="321" t="s">
        <v>396</v>
      </c>
      <c r="B464" s="56">
        <v>104302</v>
      </c>
      <c r="C464" s="58"/>
      <c r="D464" s="58">
        <v>1610</v>
      </c>
      <c r="E464" s="56">
        <f t="shared" ref="E464:E469" si="45">B464-C464+D464</f>
        <v>105912</v>
      </c>
      <c r="F464" s="58">
        <v>104302</v>
      </c>
      <c r="G464" s="57">
        <f t="shared" ref="G464:G469" si="46">E464-F464</f>
        <v>1610</v>
      </c>
      <c r="J464" s="57"/>
      <c r="K464" s="68"/>
      <c r="L464" s="68"/>
      <c r="M464" s="68"/>
    </row>
    <row r="465" spans="1:13">
      <c r="A465" s="321" t="s">
        <v>399</v>
      </c>
      <c r="B465" s="56">
        <v>66499</v>
      </c>
      <c r="C465" s="58"/>
      <c r="D465" s="58">
        <v>47523</v>
      </c>
      <c r="E465" s="56">
        <f t="shared" si="45"/>
        <v>114022</v>
      </c>
      <c r="F465" s="58">
        <v>66499</v>
      </c>
      <c r="G465" s="57">
        <f t="shared" si="46"/>
        <v>47523</v>
      </c>
      <c r="J465" s="57"/>
      <c r="K465" s="68"/>
      <c r="L465" s="68"/>
      <c r="M465" s="68"/>
    </row>
    <row r="466" spans="1:13">
      <c r="A466" s="321" t="s">
        <v>21</v>
      </c>
      <c r="B466" s="56">
        <v>0</v>
      </c>
      <c r="C466" s="58"/>
      <c r="D466" s="58">
        <v>2118</v>
      </c>
      <c r="E466" s="56">
        <f t="shared" si="45"/>
        <v>2118</v>
      </c>
      <c r="F466" s="58"/>
      <c r="G466" s="57">
        <f t="shared" si="46"/>
        <v>2118</v>
      </c>
      <c r="J466" s="57"/>
      <c r="K466" s="68"/>
      <c r="L466" s="68"/>
      <c r="M466" s="68"/>
    </row>
    <row r="467" spans="1:13">
      <c r="A467" s="321" t="s">
        <v>560</v>
      </c>
      <c r="B467" s="56">
        <v>500</v>
      </c>
      <c r="C467" s="58"/>
      <c r="D467" s="58"/>
      <c r="E467" s="56">
        <f t="shared" si="45"/>
        <v>500</v>
      </c>
      <c r="F467" s="58">
        <v>500</v>
      </c>
      <c r="G467" s="57">
        <f t="shared" si="46"/>
        <v>0</v>
      </c>
      <c r="J467" s="57"/>
      <c r="K467" s="68"/>
      <c r="L467" s="68"/>
      <c r="M467" s="68"/>
    </row>
    <row r="468" spans="1:13">
      <c r="A468" s="321" t="s">
        <v>278</v>
      </c>
      <c r="B468" s="56">
        <v>115654</v>
      </c>
      <c r="C468" s="58"/>
      <c r="D468" s="58">
        <v>57680</v>
      </c>
      <c r="E468" s="56">
        <f t="shared" si="45"/>
        <v>173334</v>
      </c>
      <c r="F468" s="58">
        <v>115654</v>
      </c>
      <c r="G468" s="57">
        <f t="shared" si="46"/>
        <v>57680</v>
      </c>
      <c r="J468" s="57"/>
      <c r="K468" s="68"/>
      <c r="L468" s="68"/>
      <c r="M468" s="68"/>
    </row>
    <row r="469" spans="1:13">
      <c r="A469" s="321" t="s">
        <v>407</v>
      </c>
      <c r="B469" s="56">
        <v>885441</v>
      </c>
      <c r="C469" s="58"/>
      <c r="D469" s="58">
        <v>341224</v>
      </c>
      <c r="E469" s="56">
        <f t="shared" si="45"/>
        <v>1226665</v>
      </c>
      <c r="F469" s="58">
        <v>683691</v>
      </c>
      <c r="G469" s="57">
        <f t="shared" si="46"/>
        <v>542974</v>
      </c>
      <c r="J469" s="57"/>
      <c r="K469" s="68"/>
      <c r="L469" s="68"/>
      <c r="M469" s="68"/>
    </row>
    <row r="470" spans="1:13">
      <c r="A470" s="322" t="s">
        <v>439</v>
      </c>
      <c r="B470" s="59">
        <f t="shared" ref="B470:G470" si="47">SUM(B464:B469)</f>
        <v>1172396</v>
      </c>
      <c r="C470" s="59">
        <f t="shared" si="47"/>
        <v>0</v>
      </c>
      <c r="D470" s="59">
        <f t="shared" si="47"/>
        <v>450155</v>
      </c>
      <c r="E470" s="59">
        <f t="shared" si="47"/>
        <v>1622551</v>
      </c>
      <c r="F470" s="59">
        <f t="shared" si="47"/>
        <v>970646</v>
      </c>
      <c r="G470" s="59">
        <f t="shared" si="47"/>
        <v>651905</v>
      </c>
      <c r="J470" s="59"/>
      <c r="K470" s="68"/>
      <c r="L470" s="68"/>
      <c r="M470" s="68"/>
    </row>
    <row r="471" spans="1:13">
      <c r="A471" s="323"/>
      <c r="B471" s="56"/>
      <c r="C471" s="58"/>
      <c r="D471" s="56"/>
      <c r="E471" s="56"/>
      <c r="F471" s="56"/>
      <c r="G471" s="57"/>
      <c r="J471" s="57"/>
      <c r="K471" s="68"/>
      <c r="L471" s="68"/>
      <c r="M471" s="68"/>
    </row>
    <row r="472" spans="1:13">
      <c r="A472" s="60" t="s">
        <v>589</v>
      </c>
      <c r="B472" s="56"/>
      <c r="C472" s="58"/>
      <c r="D472" s="56"/>
      <c r="E472" s="56"/>
      <c r="F472" s="56"/>
      <c r="G472" s="57"/>
      <c r="J472" s="57"/>
      <c r="K472" s="68"/>
      <c r="L472" s="68"/>
      <c r="M472" s="68"/>
    </row>
    <row r="473" spans="1:13">
      <c r="A473" s="321" t="s">
        <v>395</v>
      </c>
      <c r="B473" s="56">
        <v>0</v>
      </c>
      <c r="C473" s="58">
        <v>0</v>
      </c>
      <c r="D473" s="58">
        <v>0</v>
      </c>
      <c r="E473" s="56">
        <f>B473-C473+D473</f>
        <v>0</v>
      </c>
      <c r="F473" s="58"/>
      <c r="G473" s="57">
        <f t="shared" ref="G473:G477" si="48">E473-F473</f>
        <v>0</v>
      </c>
      <c r="J473" s="57"/>
      <c r="K473" s="68"/>
      <c r="L473" s="68"/>
      <c r="M473" s="68"/>
    </row>
    <row r="474" spans="1:13">
      <c r="A474" s="321" t="s">
        <v>396</v>
      </c>
      <c r="B474" s="56">
        <v>8914</v>
      </c>
      <c r="C474" s="58"/>
      <c r="D474" s="58"/>
      <c r="E474" s="56">
        <f>B474-C474+D474</f>
        <v>8914</v>
      </c>
      <c r="F474" s="58">
        <v>8414</v>
      </c>
      <c r="G474" s="57">
        <f t="shared" si="48"/>
        <v>500</v>
      </c>
      <c r="J474" s="57"/>
      <c r="K474" s="68"/>
      <c r="L474" s="68"/>
      <c r="M474" s="68"/>
    </row>
    <row r="475" spans="1:13">
      <c r="A475" s="321" t="s">
        <v>560</v>
      </c>
      <c r="B475" s="56">
        <v>2996</v>
      </c>
      <c r="C475" s="58"/>
      <c r="D475" s="58"/>
      <c r="E475" s="56">
        <f>B475-C475+D475</f>
        <v>2996</v>
      </c>
      <c r="F475" s="58">
        <v>2996</v>
      </c>
      <c r="G475" s="57">
        <f t="shared" si="48"/>
        <v>0</v>
      </c>
      <c r="J475" s="57"/>
      <c r="K475" s="68"/>
      <c r="L475" s="68"/>
      <c r="M475" s="68"/>
    </row>
    <row r="476" spans="1:13">
      <c r="A476" s="321" t="s">
        <v>398</v>
      </c>
      <c r="B476" s="56">
        <v>35201</v>
      </c>
      <c r="C476" s="58"/>
      <c r="D476" s="58">
        <v>51650</v>
      </c>
      <c r="E476" s="56">
        <f>B476-C476+D476</f>
        <v>86851</v>
      </c>
      <c r="F476" s="58">
        <v>35201</v>
      </c>
      <c r="G476" s="57">
        <f t="shared" si="48"/>
        <v>51650</v>
      </c>
      <c r="J476" s="57"/>
      <c r="K476" s="68"/>
      <c r="L476" s="68"/>
      <c r="M476" s="68"/>
    </row>
    <row r="477" spans="1:13">
      <c r="A477" s="321" t="s">
        <v>407</v>
      </c>
      <c r="B477" s="56">
        <v>235927</v>
      </c>
      <c r="C477" s="58"/>
      <c r="D477" s="58">
        <v>181849</v>
      </c>
      <c r="E477" s="56">
        <f>B477-C477+D477</f>
        <v>417776</v>
      </c>
      <c r="F477" s="58">
        <v>225032</v>
      </c>
      <c r="G477" s="57">
        <f t="shared" si="48"/>
        <v>192744</v>
      </c>
      <c r="J477" s="57"/>
      <c r="K477" s="68"/>
      <c r="L477" s="68"/>
      <c r="M477" s="68"/>
    </row>
    <row r="478" spans="1:13">
      <c r="A478" s="322" t="s">
        <v>439</v>
      </c>
      <c r="B478" s="59">
        <f t="shared" ref="B478:G478" si="49">SUM(B473:B477)</f>
        <v>283038</v>
      </c>
      <c r="C478" s="59">
        <f t="shared" si="49"/>
        <v>0</v>
      </c>
      <c r="D478" s="59">
        <f t="shared" si="49"/>
        <v>233499</v>
      </c>
      <c r="E478" s="59">
        <f t="shared" si="49"/>
        <v>516537</v>
      </c>
      <c r="F478" s="59">
        <f t="shared" si="49"/>
        <v>271643</v>
      </c>
      <c r="G478" s="59">
        <f t="shared" si="49"/>
        <v>244894</v>
      </c>
      <c r="J478" s="59"/>
      <c r="K478" s="68"/>
      <c r="L478" s="68"/>
      <c r="M478" s="68"/>
    </row>
    <row r="479" spans="1:13">
      <c r="A479" s="323"/>
      <c r="B479" s="56"/>
      <c r="C479" s="58"/>
      <c r="D479" s="56"/>
      <c r="E479" s="56"/>
      <c r="F479" s="56"/>
      <c r="G479" s="57"/>
      <c r="J479" s="57"/>
      <c r="K479" s="68"/>
      <c r="L479" s="68"/>
      <c r="M479" s="68"/>
    </row>
    <row r="480" spans="1:13">
      <c r="A480" s="60" t="s">
        <v>590</v>
      </c>
      <c r="B480" s="56"/>
      <c r="C480" s="58"/>
      <c r="D480" s="56"/>
      <c r="E480" s="56"/>
      <c r="F480" s="56"/>
      <c r="G480" s="57"/>
      <c r="J480" s="57"/>
      <c r="K480" s="68"/>
      <c r="L480" s="68"/>
      <c r="M480" s="68"/>
    </row>
    <row r="481" spans="1:13">
      <c r="A481" s="321" t="s">
        <v>396</v>
      </c>
      <c r="B481" s="56">
        <v>4500</v>
      </c>
      <c r="C481" s="58">
        <v>0</v>
      </c>
      <c r="D481" s="58">
        <v>0</v>
      </c>
      <c r="E481" s="56">
        <f>B481-C481+D481</f>
        <v>4500</v>
      </c>
      <c r="F481" s="56"/>
      <c r="G481" s="57">
        <f>E481-F481</f>
        <v>4500</v>
      </c>
      <c r="J481" s="57"/>
      <c r="K481" s="68"/>
      <c r="L481" s="68"/>
      <c r="M481" s="68"/>
    </row>
    <row r="482" spans="1:13">
      <c r="A482" s="321" t="s">
        <v>399</v>
      </c>
      <c r="B482" s="56">
        <v>0</v>
      </c>
      <c r="C482" s="58"/>
      <c r="D482" s="58">
        <v>55591</v>
      </c>
      <c r="E482" s="56">
        <f>B482-C482+D482</f>
        <v>55591</v>
      </c>
      <c r="F482" s="56"/>
      <c r="G482" s="57">
        <f>E482-F482</f>
        <v>55591</v>
      </c>
      <c r="J482" s="57"/>
      <c r="K482" s="68"/>
      <c r="L482" s="68"/>
      <c r="M482" s="68"/>
    </row>
    <row r="483" spans="1:13">
      <c r="A483" s="321" t="s">
        <v>407</v>
      </c>
      <c r="B483" s="56">
        <v>18917</v>
      </c>
      <c r="C483" s="58"/>
      <c r="D483" s="58">
        <v>48864</v>
      </c>
      <c r="E483" s="56">
        <f>B483-C483+D483</f>
        <v>67781</v>
      </c>
      <c r="F483" s="56">
        <v>18917</v>
      </c>
      <c r="G483" s="57">
        <f>E483-F483</f>
        <v>48864</v>
      </c>
      <c r="J483" s="57"/>
      <c r="K483" s="68"/>
      <c r="L483" s="68"/>
      <c r="M483" s="68"/>
    </row>
    <row r="484" spans="1:13">
      <c r="A484" s="322" t="s">
        <v>439</v>
      </c>
      <c r="B484" s="59">
        <f t="shared" ref="B484:G484" si="50">SUM(B481:B483)</f>
        <v>23417</v>
      </c>
      <c r="C484" s="59">
        <f t="shared" si="50"/>
        <v>0</v>
      </c>
      <c r="D484" s="59">
        <f t="shared" si="50"/>
        <v>104455</v>
      </c>
      <c r="E484" s="59">
        <f t="shared" si="50"/>
        <v>127872</v>
      </c>
      <c r="F484" s="59">
        <f t="shared" si="50"/>
        <v>18917</v>
      </c>
      <c r="G484" s="59">
        <f t="shared" si="50"/>
        <v>108955</v>
      </c>
      <c r="J484" s="59"/>
      <c r="K484" s="68"/>
      <c r="L484" s="68"/>
      <c r="M484" s="68"/>
    </row>
    <row r="485" spans="1:13">
      <c r="A485" s="60"/>
      <c r="B485" s="56"/>
      <c r="C485" s="58"/>
      <c r="D485" s="56"/>
      <c r="E485" s="56"/>
      <c r="F485" s="56"/>
      <c r="G485" s="57"/>
      <c r="J485" s="57"/>
      <c r="K485" s="68"/>
      <c r="L485" s="68"/>
      <c r="M485" s="68"/>
    </row>
    <row r="486" spans="1:13">
      <c r="A486" s="60" t="s">
        <v>591</v>
      </c>
      <c r="B486" s="56"/>
      <c r="C486" s="58"/>
      <c r="D486" s="56"/>
      <c r="E486" s="56"/>
      <c r="F486" s="56"/>
      <c r="G486" s="57"/>
      <c r="J486" s="57"/>
      <c r="K486" s="68"/>
      <c r="L486" s="68"/>
      <c r="M486" s="68"/>
    </row>
    <row r="487" spans="1:13">
      <c r="A487" s="321" t="s">
        <v>399</v>
      </c>
      <c r="B487" s="56">
        <v>0</v>
      </c>
      <c r="C487" s="58"/>
      <c r="D487" s="58">
        <v>61240</v>
      </c>
      <c r="E487" s="56">
        <f>B487-C487+D487</f>
        <v>61240</v>
      </c>
      <c r="F487" s="56"/>
      <c r="G487" s="57">
        <f>E487-F487</f>
        <v>61240</v>
      </c>
      <c r="J487" s="57"/>
      <c r="K487" s="68"/>
      <c r="L487" s="68"/>
      <c r="M487" s="68"/>
    </row>
    <row r="488" spans="1:13">
      <c r="A488" s="321" t="s">
        <v>407</v>
      </c>
      <c r="B488" s="56">
        <v>7000</v>
      </c>
      <c r="C488" s="58">
        <v>0</v>
      </c>
      <c r="D488" s="58">
        <v>24309</v>
      </c>
      <c r="E488" s="56">
        <f>B488-C488+D488</f>
        <v>31309</v>
      </c>
      <c r="F488" s="56"/>
      <c r="G488" s="57">
        <f>E488-F488</f>
        <v>31309</v>
      </c>
      <c r="J488" s="57"/>
      <c r="K488" s="68"/>
      <c r="L488" s="68"/>
      <c r="M488" s="68"/>
    </row>
    <row r="489" spans="1:13">
      <c r="A489" s="322" t="s">
        <v>439</v>
      </c>
      <c r="B489" s="59">
        <f t="shared" ref="B489:G489" si="51">SUM(B487:B488)</f>
        <v>7000</v>
      </c>
      <c r="C489" s="59">
        <f t="shared" si="51"/>
        <v>0</v>
      </c>
      <c r="D489" s="59">
        <f t="shared" si="51"/>
        <v>85549</v>
      </c>
      <c r="E489" s="59">
        <f t="shared" si="51"/>
        <v>92549</v>
      </c>
      <c r="F489" s="59">
        <f t="shared" si="51"/>
        <v>0</v>
      </c>
      <c r="G489" s="59">
        <f t="shared" si="51"/>
        <v>92549</v>
      </c>
      <c r="J489" s="59"/>
      <c r="K489" s="68"/>
      <c r="L489" s="68"/>
      <c r="M489" s="68"/>
    </row>
    <row r="490" spans="1:13">
      <c r="A490" s="60"/>
      <c r="B490" s="56"/>
      <c r="C490" s="58"/>
      <c r="D490" s="56"/>
      <c r="E490" s="56"/>
      <c r="F490" s="56"/>
      <c r="G490" s="57"/>
      <c r="J490" s="57"/>
      <c r="K490" s="68"/>
      <c r="L490" s="68"/>
      <c r="M490" s="68"/>
    </row>
    <row r="491" spans="1:13">
      <c r="A491" s="60" t="s">
        <v>592</v>
      </c>
      <c r="B491" s="56"/>
      <c r="C491" s="58"/>
      <c r="D491" s="56"/>
      <c r="E491" s="56"/>
      <c r="F491" s="56"/>
      <c r="G491" s="57"/>
      <c r="J491" s="57"/>
      <c r="K491" s="68"/>
      <c r="L491" s="68"/>
      <c r="M491" s="68"/>
    </row>
    <row r="492" spans="1:13">
      <c r="A492" s="321" t="s">
        <v>22</v>
      </c>
      <c r="B492" s="56">
        <v>57725</v>
      </c>
      <c r="C492" s="58">
        <v>400</v>
      </c>
      <c r="D492" s="58">
        <v>3937</v>
      </c>
      <c r="E492" s="56">
        <f>B492-C492+D492</f>
        <v>61262</v>
      </c>
      <c r="F492" s="58">
        <v>57325</v>
      </c>
      <c r="G492" s="57">
        <f>E492-F492</f>
        <v>3937</v>
      </c>
      <c r="J492" s="57"/>
      <c r="K492" s="68"/>
      <c r="L492" s="68"/>
      <c r="M492" s="68"/>
    </row>
    <row r="493" spans="1:13">
      <c r="A493" s="321" t="s">
        <v>407</v>
      </c>
      <c r="B493" s="56">
        <v>1373083</v>
      </c>
      <c r="C493" s="58"/>
      <c r="D493" s="58"/>
      <c r="E493" s="56">
        <f>B493-C493+D493</f>
        <v>1373083</v>
      </c>
      <c r="F493" s="58">
        <v>120</v>
      </c>
      <c r="G493" s="57">
        <f>E493-F493</f>
        <v>1372963</v>
      </c>
      <c r="J493" s="57"/>
      <c r="K493" s="68"/>
      <c r="L493" s="68"/>
      <c r="M493" s="68"/>
    </row>
    <row r="494" spans="1:13">
      <c r="A494" s="321" t="s">
        <v>399</v>
      </c>
      <c r="B494" s="56">
        <v>0</v>
      </c>
      <c r="C494" s="58"/>
      <c r="D494" s="58">
        <v>5062</v>
      </c>
      <c r="E494" s="56">
        <f>B494-C494+D494</f>
        <v>5062</v>
      </c>
      <c r="F494" s="58"/>
      <c r="G494" s="57">
        <f>E494-F494</f>
        <v>5062</v>
      </c>
      <c r="J494" s="57"/>
      <c r="K494" s="68"/>
      <c r="L494" s="68"/>
      <c r="M494" s="68"/>
    </row>
    <row r="495" spans="1:13">
      <c r="A495" s="321" t="s">
        <v>437</v>
      </c>
      <c r="B495" s="56">
        <v>22950</v>
      </c>
      <c r="C495" s="58"/>
      <c r="D495" s="56"/>
      <c r="E495" s="56">
        <f>B495-C495+D495</f>
        <v>22950</v>
      </c>
      <c r="F495" s="56">
        <v>22950</v>
      </c>
      <c r="G495" s="57">
        <f>E495-F495</f>
        <v>0</v>
      </c>
      <c r="J495" s="57"/>
      <c r="K495" s="68"/>
      <c r="L495" s="68"/>
      <c r="M495" s="68"/>
    </row>
    <row r="496" spans="1:13">
      <c r="A496" s="321" t="s">
        <v>396</v>
      </c>
      <c r="B496" s="56">
        <v>7826</v>
      </c>
      <c r="C496" s="58"/>
      <c r="D496" s="56"/>
      <c r="E496" s="56">
        <f>B496-C496+D496</f>
        <v>7826</v>
      </c>
      <c r="F496" s="56">
        <v>7826</v>
      </c>
      <c r="G496" s="57">
        <f>E496-F496</f>
        <v>0</v>
      </c>
      <c r="J496" s="57"/>
      <c r="K496" s="68"/>
      <c r="L496" s="68"/>
      <c r="M496" s="68"/>
    </row>
    <row r="497" spans="1:13">
      <c r="A497" s="322" t="s">
        <v>439</v>
      </c>
      <c r="B497" s="59">
        <f t="shared" ref="B497" si="52">SUM(B492:B496)</f>
        <v>1461584</v>
      </c>
      <c r="C497" s="59">
        <f>SUM(C492:C496)</f>
        <v>400</v>
      </c>
      <c r="D497" s="59">
        <f>SUM(D492:D496)</f>
        <v>8999</v>
      </c>
      <c r="E497" s="59">
        <f>SUM(E492:E496)</f>
        <v>1470183</v>
      </c>
      <c r="F497" s="59">
        <f>SUM(F492:F496)</f>
        <v>88221</v>
      </c>
      <c r="G497" s="59">
        <f>SUM(G492:G496)</f>
        <v>1381962</v>
      </c>
      <c r="J497" s="59"/>
      <c r="K497" s="68"/>
      <c r="L497" s="68"/>
      <c r="M497" s="68"/>
    </row>
    <row r="498" spans="1:13">
      <c r="A498" s="60"/>
      <c r="B498" s="56"/>
      <c r="C498" s="58"/>
      <c r="D498" s="56"/>
      <c r="E498" s="56"/>
      <c r="F498" s="56"/>
      <c r="G498" s="57"/>
      <c r="J498" s="57"/>
      <c r="K498" s="68"/>
      <c r="L498" s="68"/>
      <c r="M498" s="68"/>
    </row>
    <row r="499" spans="1:13">
      <c r="A499" s="60" t="s">
        <v>593</v>
      </c>
      <c r="B499" s="56"/>
      <c r="C499" s="58"/>
      <c r="D499" s="56"/>
      <c r="E499" s="56"/>
      <c r="F499" s="56"/>
      <c r="G499" s="57"/>
      <c r="J499" s="57"/>
      <c r="K499" s="68"/>
      <c r="L499" s="68"/>
      <c r="M499" s="68"/>
    </row>
    <row r="500" spans="1:13">
      <c r="A500" s="321" t="s">
        <v>395</v>
      </c>
      <c r="B500" s="56">
        <v>0</v>
      </c>
      <c r="C500" s="58">
        <v>0</v>
      </c>
      <c r="D500" s="58">
        <v>0</v>
      </c>
      <c r="E500" s="56">
        <f t="shared" ref="E500:E506" si="53">B500-C500+D500</f>
        <v>0</v>
      </c>
      <c r="F500" s="58"/>
      <c r="G500" s="57">
        <f t="shared" ref="G500:G506" si="54">E500-F500</f>
        <v>0</v>
      </c>
      <c r="J500" s="57"/>
      <c r="K500" s="68"/>
      <c r="L500" s="68"/>
      <c r="M500" s="68"/>
    </row>
    <row r="501" spans="1:13">
      <c r="A501" s="321" t="s">
        <v>398</v>
      </c>
      <c r="B501" s="56">
        <v>0</v>
      </c>
      <c r="C501" s="58">
        <v>0</v>
      </c>
      <c r="D501" s="58">
        <v>0</v>
      </c>
      <c r="E501" s="56">
        <f t="shared" si="53"/>
        <v>0</v>
      </c>
      <c r="F501" s="58"/>
      <c r="G501" s="57">
        <f t="shared" si="54"/>
        <v>0</v>
      </c>
      <c r="J501" s="57"/>
      <c r="K501" s="68"/>
      <c r="L501" s="68"/>
      <c r="M501" s="68"/>
    </row>
    <row r="502" spans="1:13">
      <c r="A502" s="321" t="s">
        <v>394</v>
      </c>
      <c r="B502" s="56">
        <v>0</v>
      </c>
      <c r="C502" s="58"/>
      <c r="D502" s="58">
        <v>6677</v>
      </c>
      <c r="E502" s="56">
        <f t="shared" si="53"/>
        <v>6677</v>
      </c>
      <c r="F502" s="58"/>
      <c r="G502" s="57">
        <f t="shared" si="54"/>
        <v>6677</v>
      </c>
      <c r="J502" s="57"/>
      <c r="K502" s="68"/>
      <c r="L502" s="68"/>
      <c r="M502" s="68"/>
    </row>
    <row r="503" spans="1:13">
      <c r="A503" s="321" t="s">
        <v>21</v>
      </c>
      <c r="B503" s="56">
        <v>0</v>
      </c>
      <c r="C503" s="58"/>
      <c r="D503" s="58">
        <v>390</v>
      </c>
      <c r="E503" s="56">
        <f t="shared" si="53"/>
        <v>390</v>
      </c>
      <c r="F503" s="58"/>
      <c r="G503" s="57">
        <f t="shared" si="54"/>
        <v>390</v>
      </c>
      <c r="J503" s="57"/>
      <c r="K503" s="68"/>
      <c r="L503" s="68"/>
      <c r="M503" s="68"/>
    </row>
    <row r="504" spans="1:13">
      <c r="A504" s="321" t="s">
        <v>278</v>
      </c>
      <c r="B504" s="56">
        <v>19068</v>
      </c>
      <c r="C504" s="58"/>
      <c r="D504" s="58">
        <v>52384</v>
      </c>
      <c r="E504" s="56">
        <f t="shared" si="53"/>
        <v>71452</v>
      </c>
      <c r="F504" s="58">
        <v>19068</v>
      </c>
      <c r="G504" s="57">
        <f t="shared" si="54"/>
        <v>52384</v>
      </c>
      <c r="J504" s="57"/>
      <c r="K504" s="68"/>
      <c r="L504" s="68"/>
      <c r="M504" s="68"/>
    </row>
    <row r="505" spans="1:13">
      <c r="A505" s="321" t="s">
        <v>407</v>
      </c>
      <c r="B505" s="56">
        <v>44187</v>
      </c>
      <c r="C505" s="58"/>
      <c r="D505" s="58">
        <v>17895</v>
      </c>
      <c r="E505" s="56">
        <f t="shared" si="53"/>
        <v>62082</v>
      </c>
      <c r="F505" s="58">
        <v>3430</v>
      </c>
      <c r="G505" s="57">
        <f t="shared" si="54"/>
        <v>58652</v>
      </c>
      <c r="J505" s="57"/>
      <c r="K505" s="68"/>
      <c r="L505" s="68"/>
      <c r="M505" s="68"/>
    </row>
    <row r="506" spans="1:13">
      <c r="A506" s="321" t="s">
        <v>579</v>
      </c>
      <c r="B506" s="56">
        <v>4585</v>
      </c>
      <c r="C506" s="58">
        <v>512</v>
      </c>
      <c r="D506" s="58"/>
      <c r="E506" s="56">
        <f t="shared" si="53"/>
        <v>4073</v>
      </c>
      <c r="F506" s="58">
        <v>4073</v>
      </c>
      <c r="G506" s="57">
        <f t="shared" si="54"/>
        <v>0</v>
      </c>
      <c r="J506" s="57"/>
      <c r="K506" s="68"/>
      <c r="L506" s="68"/>
      <c r="M506" s="68"/>
    </row>
    <row r="507" spans="1:13">
      <c r="A507" s="322" t="s">
        <v>439</v>
      </c>
      <c r="B507" s="59">
        <f t="shared" ref="B507:G507" si="55">SUM(B500:B506)</f>
        <v>67840</v>
      </c>
      <c r="C507" s="59">
        <f t="shared" si="55"/>
        <v>512</v>
      </c>
      <c r="D507" s="59">
        <f t="shared" si="55"/>
        <v>77346</v>
      </c>
      <c r="E507" s="59">
        <f t="shared" si="55"/>
        <v>144674</v>
      </c>
      <c r="F507" s="59">
        <f t="shared" si="55"/>
        <v>26571</v>
      </c>
      <c r="G507" s="59">
        <f t="shared" si="55"/>
        <v>118103</v>
      </c>
      <c r="J507" s="59"/>
      <c r="K507" s="68"/>
      <c r="L507" s="68"/>
      <c r="M507" s="68"/>
    </row>
    <row r="508" spans="1:13">
      <c r="A508" s="60"/>
      <c r="B508" s="56"/>
      <c r="C508" s="58"/>
      <c r="D508" s="56"/>
      <c r="E508" s="56"/>
      <c r="F508" s="56"/>
      <c r="G508" s="57"/>
      <c r="J508" s="57"/>
      <c r="K508" s="68"/>
      <c r="L508" s="68"/>
      <c r="M508" s="68"/>
    </row>
    <row r="509" spans="1:13">
      <c r="A509" s="60" t="s">
        <v>564</v>
      </c>
      <c r="B509" s="56"/>
      <c r="C509" s="58"/>
      <c r="D509" s="56"/>
      <c r="E509" s="56"/>
      <c r="F509" s="56"/>
      <c r="G509" s="57"/>
      <c r="J509" s="57"/>
      <c r="K509" s="68"/>
      <c r="L509" s="68"/>
      <c r="M509" s="68"/>
    </row>
    <row r="510" spans="1:13">
      <c r="A510" s="321" t="s">
        <v>396</v>
      </c>
      <c r="B510" s="56">
        <v>57009</v>
      </c>
      <c r="C510" s="58">
        <v>0</v>
      </c>
      <c r="D510" s="58">
        <v>158373</v>
      </c>
      <c r="E510" s="56">
        <f>B510-C510+D510</f>
        <v>215382</v>
      </c>
      <c r="F510" s="58">
        <v>0</v>
      </c>
      <c r="G510" s="57">
        <f>E510-F510</f>
        <v>215382</v>
      </c>
      <c r="J510" s="57"/>
      <c r="K510" s="68"/>
      <c r="L510" s="68"/>
      <c r="M510" s="68"/>
    </row>
    <row r="511" spans="1:13">
      <c r="A511" s="321" t="s">
        <v>579</v>
      </c>
      <c r="B511" s="56">
        <v>0</v>
      </c>
      <c r="C511" s="58"/>
      <c r="D511" s="58">
        <v>59000</v>
      </c>
      <c r="E511" s="56">
        <f>B511-C511+D511</f>
        <v>59000</v>
      </c>
      <c r="F511" s="58"/>
      <c r="G511" s="57">
        <f>E511-F511</f>
        <v>59000</v>
      </c>
      <c r="J511" s="57"/>
      <c r="K511" s="68"/>
      <c r="L511" s="68"/>
      <c r="M511" s="68"/>
    </row>
    <row r="512" spans="1:13">
      <c r="A512" s="321" t="s">
        <v>278</v>
      </c>
      <c r="B512" s="56">
        <v>0</v>
      </c>
      <c r="C512" s="58"/>
      <c r="D512" s="58">
        <v>15446</v>
      </c>
      <c r="E512" s="56">
        <f>B512-C512+D512</f>
        <v>15446</v>
      </c>
      <c r="F512" s="58">
        <v>0</v>
      </c>
      <c r="G512" s="57">
        <f>E512-F512</f>
        <v>15446</v>
      </c>
      <c r="J512" s="57"/>
      <c r="K512" s="68"/>
      <c r="L512" s="68"/>
      <c r="M512" s="68"/>
    </row>
    <row r="513" spans="1:13">
      <c r="A513" s="321" t="s">
        <v>407</v>
      </c>
      <c r="B513" s="56">
        <v>399250</v>
      </c>
      <c r="C513" s="58">
        <v>0</v>
      </c>
      <c r="D513" s="58">
        <v>38000</v>
      </c>
      <c r="E513" s="56">
        <f>B513-C513+D513</f>
        <v>437250</v>
      </c>
      <c r="F513" s="58">
        <v>0</v>
      </c>
      <c r="G513" s="57">
        <f>E513-F513</f>
        <v>437250</v>
      </c>
      <c r="J513" s="57"/>
      <c r="K513" s="68"/>
      <c r="L513" s="68"/>
      <c r="M513" s="68"/>
    </row>
    <row r="514" spans="1:13">
      <c r="A514" s="322" t="s">
        <v>439</v>
      </c>
      <c r="B514" s="59">
        <f t="shared" ref="B514:G514" si="56">SUM(B510:B513)</f>
        <v>456259</v>
      </c>
      <c r="C514" s="59">
        <f t="shared" si="56"/>
        <v>0</v>
      </c>
      <c r="D514" s="59">
        <f t="shared" si="56"/>
        <v>270819</v>
      </c>
      <c r="E514" s="59">
        <f t="shared" si="56"/>
        <v>727078</v>
      </c>
      <c r="F514" s="59">
        <f t="shared" si="56"/>
        <v>0</v>
      </c>
      <c r="G514" s="59">
        <f t="shared" si="56"/>
        <v>727078</v>
      </c>
      <c r="J514" s="59"/>
      <c r="K514" s="68"/>
      <c r="L514" s="68"/>
      <c r="M514" s="68"/>
    </row>
    <row r="515" spans="1:13">
      <c r="A515" s="321"/>
      <c r="B515" s="56"/>
      <c r="C515" s="58"/>
      <c r="D515" s="56"/>
      <c r="E515" s="56"/>
      <c r="F515" s="56"/>
      <c r="G515" s="57"/>
      <c r="J515" s="57"/>
      <c r="K515" s="68"/>
      <c r="L515" s="68"/>
      <c r="M515" s="68"/>
    </row>
    <row r="516" spans="1:13">
      <c r="A516" s="324" t="s">
        <v>565</v>
      </c>
      <c r="B516" s="56"/>
      <c r="C516" s="58"/>
      <c r="D516" s="56"/>
      <c r="E516" s="56"/>
      <c r="F516" s="56"/>
      <c r="G516" s="57"/>
      <c r="J516" s="57"/>
      <c r="K516" s="68"/>
      <c r="L516" s="68"/>
      <c r="M516" s="68"/>
    </row>
    <row r="517" spans="1:13">
      <c r="A517" s="321" t="s">
        <v>395</v>
      </c>
      <c r="B517" s="56">
        <v>2028</v>
      </c>
      <c r="C517" s="58">
        <v>0</v>
      </c>
      <c r="D517" s="58">
        <v>0</v>
      </c>
      <c r="E517" s="56">
        <f>B517-C517+D517</f>
        <v>2028</v>
      </c>
      <c r="F517" s="56">
        <v>0</v>
      </c>
      <c r="G517" s="57">
        <f>E517-F517</f>
        <v>2028</v>
      </c>
      <c r="J517" s="57"/>
      <c r="K517" s="68"/>
      <c r="L517" s="68"/>
      <c r="M517" s="68"/>
    </row>
    <row r="518" spans="1:13">
      <c r="A518" s="321" t="s">
        <v>396</v>
      </c>
      <c r="B518" s="56">
        <v>14729</v>
      </c>
      <c r="C518" s="58"/>
      <c r="D518" s="58"/>
      <c r="E518" s="56">
        <f>B518-C518+D518</f>
        <v>14729</v>
      </c>
      <c r="F518" s="56">
        <v>14729</v>
      </c>
      <c r="G518" s="57">
        <f>E518-F518</f>
        <v>0</v>
      </c>
      <c r="J518" s="57"/>
      <c r="K518" s="68"/>
      <c r="L518" s="68"/>
      <c r="M518" s="68"/>
    </row>
    <row r="519" spans="1:13">
      <c r="A519" s="322" t="s">
        <v>439</v>
      </c>
      <c r="B519" s="59">
        <f t="shared" ref="B519:G519" si="57">SUM(B517:B518)</f>
        <v>16757</v>
      </c>
      <c r="C519" s="59">
        <f t="shared" si="57"/>
        <v>0</v>
      </c>
      <c r="D519" s="59">
        <f t="shared" si="57"/>
        <v>0</v>
      </c>
      <c r="E519" s="59">
        <f t="shared" si="57"/>
        <v>16757</v>
      </c>
      <c r="F519" s="59">
        <f t="shared" si="57"/>
        <v>14729</v>
      </c>
      <c r="G519" s="59">
        <f t="shared" si="57"/>
        <v>2028</v>
      </c>
      <c r="J519" s="59"/>
      <c r="K519" s="68"/>
      <c r="L519" s="68"/>
      <c r="M519" s="68"/>
    </row>
    <row r="520" spans="1:13">
      <c r="A520" s="321"/>
      <c r="B520" s="56"/>
      <c r="C520" s="58"/>
      <c r="D520" s="56"/>
      <c r="E520" s="56"/>
      <c r="F520" s="56"/>
      <c r="G520" s="57"/>
      <c r="J520" s="57"/>
      <c r="K520" s="68"/>
      <c r="L520" s="68"/>
      <c r="M520" s="68"/>
    </row>
    <row r="521" spans="1:13">
      <c r="A521" s="60" t="s">
        <v>566</v>
      </c>
      <c r="B521" s="56"/>
      <c r="C521" s="58"/>
      <c r="D521" s="56"/>
      <c r="E521" s="56"/>
      <c r="F521" s="56"/>
      <c r="G521" s="57"/>
      <c r="J521" s="57"/>
      <c r="K521" s="68"/>
      <c r="L521" s="68"/>
      <c r="M521" s="68"/>
    </row>
    <row r="522" spans="1:13">
      <c r="A522" s="321" t="s">
        <v>395</v>
      </c>
      <c r="B522" s="56">
        <v>0</v>
      </c>
      <c r="C522" s="58"/>
      <c r="D522" s="58">
        <v>43701</v>
      </c>
      <c r="E522" s="56">
        <f t="shared" ref="E522:E530" si="58">B522-C522+D522</f>
        <v>43701</v>
      </c>
      <c r="F522" s="58">
        <v>0</v>
      </c>
      <c r="G522" s="57">
        <f t="shared" ref="G522:G529" si="59">E522-F522</f>
        <v>43701</v>
      </c>
      <c r="J522" s="57"/>
      <c r="K522" s="68"/>
      <c r="L522" s="68"/>
      <c r="M522" s="68"/>
    </row>
    <row r="523" spans="1:13">
      <c r="A523" s="321" t="s">
        <v>396</v>
      </c>
      <c r="B523" s="56">
        <v>51918</v>
      </c>
      <c r="C523" s="58"/>
      <c r="D523" s="58">
        <v>21344</v>
      </c>
      <c r="E523" s="56">
        <f t="shared" si="58"/>
        <v>73262</v>
      </c>
      <c r="F523" s="58">
        <v>43402</v>
      </c>
      <c r="G523" s="57">
        <f t="shared" si="59"/>
        <v>29860</v>
      </c>
      <c r="J523" s="57"/>
      <c r="K523" s="68"/>
      <c r="L523" s="68"/>
      <c r="M523" s="68"/>
    </row>
    <row r="524" spans="1:13">
      <c r="A524" s="321" t="s">
        <v>21</v>
      </c>
      <c r="B524" s="56">
        <v>9372</v>
      </c>
      <c r="C524" s="58"/>
      <c r="D524" s="58">
        <v>13786</v>
      </c>
      <c r="E524" s="56">
        <f t="shared" si="58"/>
        <v>23158</v>
      </c>
      <c r="F524" s="58">
        <v>9372</v>
      </c>
      <c r="G524" s="57">
        <f>E524-F524</f>
        <v>13786</v>
      </c>
      <c r="J524" s="57"/>
      <c r="K524" s="68"/>
      <c r="L524" s="68"/>
      <c r="M524" s="68"/>
    </row>
    <row r="525" spans="1:13">
      <c r="A525" s="321" t="s">
        <v>394</v>
      </c>
      <c r="B525" s="56">
        <v>16017</v>
      </c>
      <c r="C525" s="58"/>
      <c r="D525" s="58"/>
      <c r="E525" s="56">
        <f t="shared" si="58"/>
        <v>16017</v>
      </c>
      <c r="F525" s="58">
        <v>16017</v>
      </c>
      <c r="G525" s="57">
        <f t="shared" si="59"/>
        <v>0</v>
      </c>
      <c r="J525" s="57"/>
      <c r="K525" s="68"/>
      <c r="L525" s="68"/>
      <c r="M525" s="68"/>
    </row>
    <row r="526" spans="1:13">
      <c r="A526" s="321" t="s">
        <v>398</v>
      </c>
      <c r="B526" s="56">
        <v>2812</v>
      </c>
      <c r="C526" s="58"/>
      <c r="D526" s="58">
        <v>4000</v>
      </c>
      <c r="E526" s="56">
        <f t="shared" si="58"/>
        <v>6812</v>
      </c>
      <c r="F526" s="58">
        <v>2812</v>
      </c>
      <c r="G526" s="57">
        <f t="shared" si="59"/>
        <v>4000</v>
      </c>
      <c r="J526" s="57"/>
      <c r="K526" s="68"/>
      <c r="L526" s="68"/>
      <c r="M526" s="68"/>
    </row>
    <row r="527" spans="1:13">
      <c r="A527" s="321" t="s">
        <v>399</v>
      </c>
      <c r="B527" s="56">
        <v>3000</v>
      </c>
      <c r="C527" s="58"/>
      <c r="D527" s="58">
        <v>13856</v>
      </c>
      <c r="E527" s="56">
        <f t="shared" si="58"/>
        <v>16856</v>
      </c>
      <c r="F527" s="58">
        <v>3000</v>
      </c>
      <c r="G527" s="57">
        <f t="shared" si="59"/>
        <v>13856</v>
      </c>
      <c r="J527" s="57"/>
      <c r="K527" s="68"/>
      <c r="L527" s="68"/>
      <c r="M527" s="68"/>
    </row>
    <row r="528" spans="1:13">
      <c r="A528" s="321" t="s">
        <v>560</v>
      </c>
      <c r="B528" s="56">
        <v>18875</v>
      </c>
      <c r="C528" s="58"/>
      <c r="D528" s="58"/>
      <c r="E528" s="56">
        <f t="shared" si="58"/>
        <v>18875</v>
      </c>
      <c r="F528" s="58">
        <v>18875</v>
      </c>
      <c r="G528" s="57">
        <f t="shared" si="59"/>
        <v>0</v>
      </c>
      <c r="J528" s="57"/>
      <c r="K528" s="68"/>
      <c r="L528" s="68"/>
      <c r="M528" s="68"/>
    </row>
    <row r="529" spans="1:13">
      <c r="A529" s="321" t="s">
        <v>278</v>
      </c>
      <c r="B529" s="56">
        <v>34854</v>
      </c>
      <c r="C529" s="58">
        <v>561</v>
      </c>
      <c r="D529" s="58">
        <v>19363</v>
      </c>
      <c r="E529" s="56">
        <f t="shared" si="58"/>
        <v>53656</v>
      </c>
      <c r="F529" s="58">
        <v>34293</v>
      </c>
      <c r="G529" s="57">
        <f t="shared" si="59"/>
        <v>19363</v>
      </c>
      <c r="J529" s="57"/>
      <c r="K529" s="68"/>
      <c r="L529" s="68"/>
      <c r="M529" s="68"/>
    </row>
    <row r="530" spans="1:13">
      <c r="A530" s="321" t="s">
        <v>407</v>
      </c>
      <c r="B530" s="56">
        <v>469783</v>
      </c>
      <c r="C530" s="58"/>
      <c r="D530" s="58">
        <v>10460</v>
      </c>
      <c r="E530" s="56">
        <f t="shared" si="58"/>
        <v>480243</v>
      </c>
      <c r="F530" s="58">
        <v>169783</v>
      </c>
      <c r="G530" s="57">
        <f>E530-F530</f>
        <v>310460</v>
      </c>
      <c r="J530" s="57"/>
      <c r="K530" s="68"/>
      <c r="L530" s="68"/>
      <c r="M530" s="68"/>
    </row>
    <row r="531" spans="1:13">
      <c r="A531" s="322" t="s">
        <v>439</v>
      </c>
      <c r="B531" s="59">
        <f t="shared" ref="B531:G531" si="60">SUM(B522:B530)</f>
        <v>606631</v>
      </c>
      <c r="C531" s="59">
        <f t="shared" si="60"/>
        <v>561</v>
      </c>
      <c r="D531" s="59">
        <f t="shared" si="60"/>
        <v>126510</v>
      </c>
      <c r="E531" s="59">
        <f t="shared" si="60"/>
        <v>732580</v>
      </c>
      <c r="F531" s="59">
        <f t="shared" si="60"/>
        <v>297554</v>
      </c>
      <c r="G531" s="59">
        <f t="shared" si="60"/>
        <v>435026</v>
      </c>
      <c r="J531" s="59"/>
      <c r="K531" s="68"/>
      <c r="L531" s="68"/>
      <c r="M531" s="68"/>
    </row>
    <row r="532" spans="1:13">
      <c r="A532" s="323"/>
      <c r="B532" s="56"/>
      <c r="C532" s="58"/>
      <c r="D532" s="56"/>
      <c r="E532" s="56"/>
      <c r="F532" s="56"/>
      <c r="G532" s="57"/>
      <c r="J532" s="57"/>
      <c r="K532" s="68"/>
      <c r="L532" s="68"/>
      <c r="M532" s="68"/>
    </row>
    <row r="533" spans="1:13">
      <c r="A533" s="60" t="s">
        <v>567</v>
      </c>
      <c r="B533" s="56"/>
      <c r="C533" s="58"/>
      <c r="D533" s="56"/>
      <c r="E533" s="56"/>
      <c r="F533" s="56"/>
      <c r="G533" s="57"/>
      <c r="J533" s="57"/>
      <c r="K533" s="68"/>
      <c r="L533" s="68"/>
      <c r="M533" s="68"/>
    </row>
    <row r="534" spans="1:13">
      <c r="A534" s="321" t="s">
        <v>396</v>
      </c>
      <c r="B534" s="56">
        <v>41166</v>
      </c>
      <c r="C534" s="58"/>
      <c r="D534" s="58">
        <v>250</v>
      </c>
      <c r="E534" s="56">
        <f>B534-C534+D534</f>
        <v>41416</v>
      </c>
      <c r="F534" s="58">
        <v>35039</v>
      </c>
      <c r="G534" s="57">
        <f t="shared" ref="G534:G538" si="61">E534-F534</f>
        <v>6377</v>
      </c>
      <c r="J534" s="57"/>
      <c r="K534" s="68"/>
      <c r="L534" s="68"/>
      <c r="M534" s="68"/>
    </row>
    <row r="535" spans="1:13">
      <c r="A535" s="321" t="s">
        <v>399</v>
      </c>
      <c r="B535" s="56">
        <v>0</v>
      </c>
      <c r="C535" s="58"/>
      <c r="D535" s="58">
        <v>29831</v>
      </c>
      <c r="E535" s="56">
        <f>B535-C535+D535</f>
        <v>29831</v>
      </c>
      <c r="F535" s="58"/>
      <c r="G535" s="57">
        <f t="shared" si="61"/>
        <v>29831</v>
      </c>
      <c r="J535" s="57"/>
      <c r="K535" s="68"/>
      <c r="L535" s="68"/>
      <c r="M535" s="68"/>
    </row>
    <row r="536" spans="1:13">
      <c r="A536" s="321" t="s">
        <v>407</v>
      </c>
      <c r="B536" s="56">
        <v>305454</v>
      </c>
      <c r="C536" s="58"/>
      <c r="D536" s="58">
        <v>4039</v>
      </c>
      <c r="E536" s="56">
        <f>B536-C536+D536</f>
        <v>309493</v>
      </c>
      <c r="F536" s="58">
        <v>288083</v>
      </c>
      <c r="G536" s="57">
        <f t="shared" si="61"/>
        <v>21410</v>
      </c>
      <c r="J536" s="57"/>
      <c r="K536" s="68"/>
      <c r="L536" s="68"/>
      <c r="M536" s="68"/>
    </row>
    <row r="537" spans="1:13">
      <c r="A537" s="321" t="s">
        <v>395</v>
      </c>
      <c r="B537" s="56">
        <v>14262</v>
      </c>
      <c r="C537" s="58">
        <v>0</v>
      </c>
      <c r="D537" s="58">
        <v>0</v>
      </c>
      <c r="E537" s="56">
        <f>B537-C537+D537</f>
        <v>14262</v>
      </c>
      <c r="F537" s="58">
        <v>14262</v>
      </c>
      <c r="G537" s="57">
        <f t="shared" si="61"/>
        <v>0</v>
      </c>
      <c r="J537" s="57"/>
      <c r="K537" s="68"/>
      <c r="L537" s="68"/>
      <c r="M537" s="68"/>
    </row>
    <row r="538" spans="1:13">
      <c r="A538" s="321" t="s">
        <v>278</v>
      </c>
      <c r="B538" s="56">
        <v>0</v>
      </c>
      <c r="C538" s="58">
        <v>0</v>
      </c>
      <c r="D538" s="58">
        <v>940</v>
      </c>
      <c r="E538" s="56">
        <f>B538-C538+D538</f>
        <v>940</v>
      </c>
      <c r="F538" s="58">
        <v>0</v>
      </c>
      <c r="G538" s="57">
        <f t="shared" si="61"/>
        <v>940</v>
      </c>
      <c r="J538" s="57"/>
      <c r="K538" s="68"/>
      <c r="L538" s="68"/>
      <c r="M538" s="68"/>
    </row>
    <row r="539" spans="1:13">
      <c r="A539" s="322" t="s">
        <v>439</v>
      </c>
      <c r="B539" s="59">
        <f t="shared" ref="B539:G539" si="62">SUM(B534:B538)</f>
        <v>360882</v>
      </c>
      <c r="C539" s="59">
        <f t="shared" si="62"/>
        <v>0</v>
      </c>
      <c r="D539" s="59">
        <f t="shared" si="62"/>
        <v>35060</v>
      </c>
      <c r="E539" s="59">
        <f t="shared" si="62"/>
        <v>395942</v>
      </c>
      <c r="F539" s="59">
        <f t="shared" si="62"/>
        <v>337384</v>
      </c>
      <c r="G539" s="59">
        <f t="shared" si="62"/>
        <v>58558</v>
      </c>
      <c r="J539" s="59"/>
      <c r="K539" s="68"/>
      <c r="L539" s="68"/>
      <c r="M539" s="68"/>
    </row>
    <row r="540" spans="1:13">
      <c r="A540" s="323"/>
      <c r="B540" s="56"/>
      <c r="C540" s="58"/>
      <c r="D540" s="56"/>
      <c r="E540" s="56"/>
      <c r="F540" s="56"/>
      <c r="G540" s="57"/>
      <c r="J540" s="57"/>
      <c r="K540" s="68"/>
      <c r="L540" s="68"/>
      <c r="M540" s="68"/>
    </row>
    <row r="541" spans="1:13">
      <c r="A541" s="60" t="s">
        <v>568</v>
      </c>
      <c r="B541" s="56"/>
      <c r="C541" s="58"/>
      <c r="D541" s="56"/>
      <c r="E541" s="56"/>
      <c r="F541" s="56"/>
      <c r="G541" s="57"/>
      <c r="J541" s="57"/>
      <c r="K541" s="68"/>
      <c r="L541" s="68"/>
      <c r="M541" s="68"/>
    </row>
    <row r="542" spans="1:13">
      <c r="A542" s="321" t="s">
        <v>560</v>
      </c>
      <c r="B542" s="56">
        <v>26080</v>
      </c>
      <c r="C542" s="58"/>
      <c r="D542" s="58"/>
      <c r="E542" s="56">
        <f>B542-C542+D542</f>
        <v>26080</v>
      </c>
      <c r="F542" s="58">
        <v>26080</v>
      </c>
      <c r="G542" s="57">
        <f>E542-F542</f>
        <v>0</v>
      </c>
      <c r="J542" s="57"/>
      <c r="K542" s="68"/>
      <c r="L542" s="68"/>
      <c r="M542" s="68"/>
    </row>
    <row r="543" spans="1:13">
      <c r="A543" s="321" t="s">
        <v>407</v>
      </c>
      <c r="B543" s="56">
        <v>231</v>
      </c>
      <c r="C543" s="58">
        <v>0</v>
      </c>
      <c r="D543" s="58">
        <v>0</v>
      </c>
      <c r="E543" s="56">
        <f>B543-C543+D543</f>
        <v>231</v>
      </c>
      <c r="F543" s="58"/>
      <c r="G543" s="57">
        <f>E543-F543</f>
        <v>231</v>
      </c>
      <c r="J543" s="57"/>
      <c r="K543" s="68"/>
      <c r="L543" s="68"/>
      <c r="M543" s="68"/>
    </row>
    <row r="544" spans="1:13">
      <c r="A544" s="322" t="s">
        <v>439</v>
      </c>
      <c r="B544" s="59">
        <f t="shared" ref="B544:G544" si="63">SUM(B542:B543)</f>
        <v>26311</v>
      </c>
      <c r="C544" s="59">
        <f t="shared" si="63"/>
        <v>0</v>
      </c>
      <c r="D544" s="59">
        <f t="shared" si="63"/>
        <v>0</v>
      </c>
      <c r="E544" s="59">
        <f t="shared" si="63"/>
        <v>26311</v>
      </c>
      <c r="F544" s="59">
        <f t="shared" si="63"/>
        <v>26080</v>
      </c>
      <c r="G544" s="59">
        <f t="shared" si="63"/>
        <v>231</v>
      </c>
      <c r="J544" s="59"/>
      <c r="K544" s="68"/>
      <c r="L544" s="68"/>
      <c r="M544" s="68"/>
    </row>
    <row r="545" spans="1:13">
      <c r="A545" s="323"/>
      <c r="B545" s="56"/>
      <c r="C545" s="58"/>
      <c r="D545" s="56"/>
      <c r="E545" s="56"/>
      <c r="F545" s="56"/>
      <c r="G545" s="57"/>
      <c r="J545" s="57"/>
      <c r="K545" s="68"/>
      <c r="L545" s="68"/>
      <c r="M545" s="68"/>
    </row>
    <row r="546" spans="1:13">
      <c r="A546" s="60" t="s">
        <v>569</v>
      </c>
      <c r="B546" s="56"/>
      <c r="C546" s="58"/>
      <c r="D546" s="56"/>
      <c r="E546" s="56"/>
      <c r="F546" s="56"/>
      <c r="G546" s="57"/>
      <c r="J546" s="57"/>
      <c r="K546" s="68"/>
      <c r="L546" s="68"/>
      <c r="M546" s="68"/>
    </row>
    <row r="547" spans="1:13">
      <c r="A547" s="321" t="s">
        <v>278</v>
      </c>
      <c r="B547" s="56">
        <v>830</v>
      </c>
      <c r="C547" s="58"/>
      <c r="D547" s="58"/>
      <c r="E547" s="56">
        <f>B547-C547+D547</f>
        <v>830</v>
      </c>
      <c r="F547" s="58">
        <v>830</v>
      </c>
      <c r="G547" s="57">
        <f>E547-F547</f>
        <v>0</v>
      </c>
      <c r="J547" s="57"/>
      <c r="K547" s="68"/>
      <c r="L547" s="68"/>
      <c r="M547" s="68"/>
    </row>
    <row r="548" spans="1:13">
      <c r="A548" s="321" t="s">
        <v>407</v>
      </c>
      <c r="B548" s="56">
        <v>299599</v>
      </c>
      <c r="C548" s="58"/>
      <c r="D548" s="58">
        <v>3940</v>
      </c>
      <c r="E548" s="56">
        <f>B548-C548+D548</f>
        <v>303539</v>
      </c>
      <c r="F548" s="58">
        <v>32168</v>
      </c>
      <c r="G548" s="57">
        <f>E548-F548</f>
        <v>271371</v>
      </c>
      <c r="J548" s="57"/>
      <c r="K548" s="68"/>
      <c r="L548" s="68"/>
      <c r="M548" s="68"/>
    </row>
    <row r="549" spans="1:13">
      <c r="A549" s="322" t="s">
        <v>439</v>
      </c>
      <c r="B549" s="59">
        <f t="shared" ref="B549:G549" si="64">SUM(B547:B548)</f>
        <v>300429</v>
      </c>
      <c r="C549" s="59">
        <f t="shared" si="64"/>
        <v>0</v>
      </c>
      <c r="D549" s="59">
        <f t="shared" si="64"/>
        <v>3940</v>
      </c>
      <c r="E549" s="59">
        <f t="shared" si="64"/>
        <v>304369</v>
      </c>
      <c r="F549" s="59">
        <f t="shared" si="64"/>
        <v>32998</v>
      </c>
      <c r="G549" s="59">
        <f t="shared" si="64"/>
        <v>271371</v>
      </c>
      <c r="J549" s="59"/>
      <c r="K549" s="68"/>
      <c r="L549" s="68"/>
      <c r="M549" s="68"/>
    </row>
    <row r="550" spans="1:13">
      <c r="A550" s="323"/>
      <c r="B550" s="56"/>
      <c r="C550" s="58"/>
      <c r="D550" s="56"/>
      <c r="E550" s="56"/>
      <c r="F550" s="56"/>
      <c r="G550" s="57"/>
      <c r="J550" s="57"/>
      <c r="K550" s="68"/>
      <c r="L550" s="68"/>
      <c r="M550" s="68"/>
    </row>
    <row r="551" spans="1:13">
      <c r="A551" s="60" t="s">
        <v>570</v>
      </c>
      <c r="B551" s="56"/>
      <c r="C551" s="58"/>
      <c r="D551" s="56"/>
      <c r="E551" s="56"/>
      <c r="F551" s="56"/>
      <c r="G551" s="57"/>
      <c r="J551" s="57"/>
      <c r="K551" s="68"/>
      <c r="L551" s="68"/>
      <c r="M551" s="68"/>
    </row>
    <row r="552" spans="1:13">
      <c r="A552" s="321" t="s">
        <v>560</v>
      </c>
      <c r="B552" s="56">
        <v>1773</v>
      </c>
      <c r="C552" s="58"/>
      <c r="D552" s="56"/>
      <c r="E552" s="56">
        <f t="shared" ref="E552:E558" si="65">B552-C552+D552</f>
        <v>1773</v>
      </c>
      <c r="F552" s="58">
        <v>1773</v>
      </c>
      <c r="G552" s="57">
        <f t="shared" ref="G552:G558" si="66">E552-F552</f>
        <v>0</v>
      </c>
      <c r="J552" s="57"/>
      <c r="K552" s="68"/>
      <c r="L552" s="68"/>
      <c r="M552" s="68"/>
    </row>
    <row r="553" spans="1:13">
      <c r="A553" s="321" t="s">
        <v>21</v>
      </c>
      <c r="B553" s="56">
        <v>0</v>
      </c>
      <c r="C553" s="58"/>
      <c r="D553" s="56">
        <v>13873</v>
      </c>
      <c r="E553" s="56">
        <f t="shared" si="65"/>
        <v>13873</v>
      </c>
      <c r="F553" s="58"/>
      <c r="G553" s="57">
        <f t="shared" si="66"/>
        <v>13873</v>
      </c>
      <c r="J553" s="57"/>
      <c r="K553" s="68"/>
      <c r="L553" s="68"/>
      <c r="M553" s="68"/>
    </row>
    <row r="554" spans="1:13">
      <c r="A554" s="321" t="s">
        <v>278</v>
      </c>
      <c r="B554" s="56">
        <v>27099</v>
      </c>
      <c r="C554" s="58"/>
      <c r="D554" s="56">
        <v>18862</v>
      </c>
      <c r="E554" s="56">
        <f t="shared" si="65"/>
        <v>45961</v>
      </c>
      <c r="F554" s="58">
        <v>27099</v>
      </c>
      <c r="G554" s="57">
        <f t="shared" si="66"/>
        <v>18862</v>
      </c>
      <c r="J554" s="57"/>
      <c r="K554" s="68"/>
      <c r="L554" s="68"/>
      <c r="M554" s="68"/>
    </row>
    <row r="555" spans="1:13">
      <c r="A555" s="321" t="s">
        <v>636</v>
      </c>
      <c r="B555" s="56">
        <v>0</v>
      </c>
      <c r="C555" s="58"/>
      <c r="D555" s="56">
        <v>22050</v>
      </c>
      <c r="E555" s="56">
        <f t="shared" si="65"/>
        <v>22050</v>
      </c>
      <c r="F555" s="58"/>
      <c r="G555" s="57">
        <f t="shared" si="66"/>
        <v>22050</v>
      </c>
      <c r="J555" s="57"/>
      <c r="K555" s="68"/>
      <c r="L555" s="68"/>
      <c r="M555" s="68"/>
    </row>
    <row r="556" spans="1:13">
      <c r="A556" s="321" t="s">
        <v>407</v>
      </c>
      <c r="B556" s="56">
        <v>285992</v>
      </c>
      <c r="C556" s="58"/>
      <c r="D556" s="56">
        <v>129327</v>
      </c>
      <c r="E556" s="56">
        <f t="shared" si="65"/>
        <v>415319</v>
      </c>
      <c r="F556" s="58">
        <v>121656</v>
      </c>
      <c r="G556" s="57">
        <f t="shared" si="66"/>
        <v>293663</v>
      </c>
      <c r="J556" s="57"/>
      <c r="K556" s="68"/>
      <c r="L556" s="68"/>
      <c r="M556" s="68"/>
    </row>
    <row r="557" spans="1:13">
      <c r="A557" s="321" t="s">
        <v>395</v>
      </c>
      <c r="B557" s="56">
        <v>6282</v>
      </c>
      <c r="C557" s="58"/>
      <c r="D557" s="56">
        <v>9757</v>
      </c>
      <c r="E557" s="56">
        <f t="shared" si="65"/>
        <v>16039</v>
      </c>
      <c r="F557" s="58">
        <v>6282</v>
      </c>
      <c r="G557" s="57">
        <f t="shared" si="66"/>
        <v>9757</v>
      </c>
      <c r="J557" s="57"/>
      <c r="K557" s="68"/>
      <c r="L557" s="68"/>
      <c r="M557" s="68"/>
    </row>
    <row r="558" spans="1:13">
      <c r="A558" s="321" t="s">
        <v>396</v>
      </c>
      <c r="B558" s="56">
        <v>2107</v>
      </c>
      <c r="C558" s="58"/>
      <c r="D558" s="56"/>
      <c r="E558" s="56">
        <f t="shared" si="65"/>
        <v>2107</v>
      </c>
      <c r="F558" s="58">
        <v>2107</v>
      </c>
      <c r="G558" s="57">
        <f t="shared" si="66"/>
        <v>0</v>
      </c>
      <c r="J558" s="57"/>
      <c r="K558" s="68"/>
      <c r="L558" s="68"/>
      <c r="M558" s="68"/>
    </row>
    <row r="559" spans="1:13">
      <c r="A559" s="322" t="s">
        <v>439</v>
      </c>
      <c r="B559" s="59">
        <f t="shared" ref="B559:G559" si="67">SUM(B552:B558)</f>
        <v>323253</v>
      </c>
      <c r="C559" s="59">
        <f t="shared" si="67"/>
        <v>0</v>
      </c>
      <c r="D559" s="59">
        <f t="shared" si="67"/>
        <v>193869</v>
      </c>
      <c r="E559" s="59">
        <f t="shared" si="67"/>
        <v>517122</v>
      </c>
      <c r="F559" s="59">
        <f t="shared" si="67"/>
        <v>158917</v>
      </c>
      <c r="G559" s="59">
        <f t="shared" si="67"/>
        <v>358205</v>
      </c>
      <c r="J559" s="59"/>
      <c r="K559" s="68"/>
      <c r="L559" s="68"/>
      <c r="M559" s="68"/>
    </row>
    <row r="560" spans="1:13">
      <c r="A560" s="323"/>
      <c r="B560" s="56"/>
      <c r="C560" s="58"/>
      <c r="D560" s="56"/>
      <c r="E560" s="56"/>
      <c r="F560" s="56"/>
      <c r="G560" s="57"/>
      <c r="J560" s="57"/>
      <c r="K560" s="68"/>
      <c r="L560" s="68"/>
      <c r="M560" s="68"/>
    </row>
    <row r="561" spans="1:13">
      <c r="A561" s="60" t="s">
        <v>571</v>
      </c>
      <c r="B561" s="56"/>
      <c r="C561" s="58"/>
      <c r="D561" s="56"/>
      <c r="E561" s="56"/>
      <c r="F561" s="56"/>
      <c r="G561" s="57"/>
      <c r="J561" s="57"/>
      <c r="K561" s="68"/>
      <c r="L561" s="68"/>
      <c r="M561" s="68"/>
    </row>
    <row r="562" spans="1:13">
      <c r="A562" s="321" t="s">
        <v>394</v>
      </c>
      <c r="B562" s="56">
        <v>0</v>
      </c>
      <c r="C562" s="58">
        <v>0</v>
      </c>
      <c r="D562" s="56">
        <v>411000</v>
      </c>
      <c r="E562" s="56">
        <f>B562-C562+D562</f>
        <v>411000</v>
      </c>
      <c r="F562" s="56">
        <v>0</v>
      </c>
      <c r="G562" s="57">
        <f>E562-F562</f>
        <v>411000</v>
      </c>
      <c r="J562" s="57"/>
      <c r="K562" s="68"/>
      <c r="L562" s="68"/>
      <c r="M562" s="68"/>
    </row>
    <row r="563" spans="1:13">
      <c r="A563" s="321" t="s">
        <v>371</v>
      </c>
      <c r="B563" s="56">
        <v>115957</v>
      </c>
      <c r="C563" s="58"/>
      <c r="D563" s="56">
        <v>118279</v>
      </c>
      <c r="E563" s="56">
        <f>B563-C563+D563</f>
        <v>234236</v>
      </c>
      <c r="F563" s="56">
        <v>115957</v>
      </c>
      <c r="G563" s="57">
        <f>E563-F563</f>
        <v>118279</v>
      </c>
      <c r="J563" s="57"/>
      <c r="K563" s="68"/>
      <c r="L563" s="68"/>
      <c r="M563" s="68"/>
    </row>
    <row r="564" spans="1:13">
      <c r="A564" s="321" t="s">
        <v>407</v>
      </c>
      <c r="B564" s="56">
        <v>1305261</v>
      </c>
      <c r="C564" s="58"/>
      <c r="D564" s="56">
        <v>705726</v>
      </c>
      <c r="E564" s="56">
        <f>B564-C564+D564</f>
        <v>2010987</v>
      </c>
      <c r="F564" s="56">
        <v>242900</v>
      </c>
      <c r="G564" s="57">
        <f>E564-F564</f>
        <v>1768087</v>
      </c>
      <c r="J564" s="57"/>
      <c r="K564" s="68"/>
      <c r="L564" s="68"/>
      <c r="M564" s="68"/>
    </row>
    <row r="565" spans="1:13">
      <c r="A565" s="321" t="s">
        <v>396</v>
      </c>
      <c r="B565" s="56">
        <v>9690</v>
      </c>
      <c r="C565" s="58"/>
      <c r="D565" s="56"/>
      <c r="E565" s="56">
        <f>B565-C565+D565</f>
        <v>9690</v>
      </c>
      <c r="F565" s="56">
        <v>9690</v>
      </c>
      <c r="G565" s="57">
        <f>E565-F565</f>
        <v>0</v>
      </c>
      <c r="J565" s="57"/>
      <c r="K565" s="68"/>
      <c r="L565" s="68"/>
      <c r="M565" s="68"/>
    </row>
    <row r="566" spans="1:13">
      <c r="A566" s="322" t="s">
        <v>439</v>
      </c>
      <c r="B566" s="59">
        <f t="shared" ref="B566:G566" si="68">SUM(B562:B565)</f>
        <v>1430908</v>
      </c>
      <c r="C566" s="59">
        <f t="shared" si="68"/>
        <v>0</v>
      </c>
      <c r="D566" s="59">
        <f t="shared" si="68"/>
        <v>1235005</v>
      </c>
      <c r="E566" s="59">
        <f t="shared" si="68"/>
        <v>2665913</v>
      </c>
      <c r="F566" s="59">
        <f t="shared" si="68"/>
        <v>368547</v>
      </c>
      <c r="G566" s="59">
        <f t="shared" si="68"/>
        <v>2297366</v>
      </c>
      <c r="J566" s="59"/>
      <c r="K566" s="68"/>
      <c r="L566" s="68"/>
      <c r="M566" s="68"/>
    </row>
    <row r="567" spans="1:13">
      <c r="A567" s="323"/>
      <c r="B567" s="56"/>
      <c r="C567" s="58"/>
      <c r="D567" s="56"/>
      <c r="E567" s="56"/>
      <c r="F567" s="56"/>
      <c r="G567" s="57"/>
      <c r="J567" s="57"/>
      <c r="K567" s="68"/>
      <c r="L567" s="68"/>
      <c r="M567" s="68"/>
    </row>
    <row r="568" spans="1:13">
      <c r="A568" s="60" t="s">
        <v>572</v>
      </c>
      <c r="B568" s="56"/>
      <c r="C568" s="58"/>
      <c r="D568" s="56"/>
      <c r="E568" s="56"/>
      <c r="F568" s="56"/>
      <c r="G568" s="57"/>
      <c r="J568" s="57"/>
      <c r="K568" s="68"/>
      <c r="L568" s="68"/>
      <c r="M568" s="68"/>
    </row>
    <row r="569" spans="1:13">
      <c r="A569" s="321" t="s">
        <v>560</v>
      </c>
      <c r="B569" s="56">
        <v>0</v>
      </c>
      <c r="C569" s="58"/>
      <c r="D569" s="56">
        <v>11030</v>
      </c>
      <c r="E569" s="56">
        <f>B569-C569+D569</f>
        <v>11030</v>
      </c>
      <c r="F569" s="56"/>
      <c r="G569" s="57">
        <f t="shared" ref="G569:G573" si="69">E569-F569</f>
        <v>11030</v>
      </c>
      <c r="J569" s="57"/>
      <c r="K569" s="68"/>
      <c r="L569" s="68"/>
      <c r="M569" s="68"/>
    </row>
    <row r="570" spans="1:13">
      <c r="A570" s="321" t="s">
        <v>407</v>
      </c>
      <c r="B570" s="56">
        <v>989856</v>
      </c>
      <c r="C570" s="58">
        <v>0</v>
      </c>
      <c r="D570" s="56">
        <v>97500</v>
      </c>
      <c r="E570" s="56">
        <f>B570-C570+D570</f>
        <v>1087356</v>
      </c>
      <c r="F570" s="56">
        <v>248514</v>
      </c>
      <c r="G570" s="57">
        <f t="shared" si="69"/>
        <v>838842</v>
      </c>
      <c r="J570" s="57"/>
      <c r="K570" s="68"/>
      <c r="L570" s="68"/>
      <c r="M570" s="68"/>
    </row>
    <row r="571" spans="1:13">
      <c r="A571" s="321" t="s">
        <v>18</v>
      </c>
      <c r="B571" s="56">
        <v>0</v>
      </c>
      <c r="C571" s="58"/>
      <c r="D571" s="56">
        <v>725985</v>
      </c>
      <c r="E571" s="56">
        <f>B571-C571+D571</f>
        <v>725985</v>
      </c>
      <c r="F571" s="56">
        <v>0</v>
      </c>
      <c r="G571" s="57">
        <f t="shared" si="69"/>
        <v>725985</v>
      </c>
      <c r="J571" s="57"/>
      <c r="K571" s="68"/>
      <c r="L571" s="68"/>
      <c r="M571" s="68"/>
    </row>
    <row r="572" spans="1:13">
      <c r="A572" s="321" t="s">
        <v>573</v>
      </c>
      <c r="B572" s="56">
        <v>73000</v>
      </c>
      <c r="C572" s="58"/>
      <c r="D572" s="56"/>
      <c r="E572" s="56">
        <f>B572-C572+D572</f>
        <v>73000</v>
      </c>
      <c r="F572" s="56">
        <v>73000</v>
      </c>
      <c r="G572" s="57">
        <f t="shared" si="69"/>
        <v>0</v>
      </c>
      <c r="J572" s="57"/>
      <c r="K572" s="68"/>
      <c r="L572" s="68"/>
      <c r="M572" s="68"/>
    </row>
    <row r="573" spans="1:13">
      <c r="A573" s="321" t="s">
        <v>394</v>
      </c>
      <c r="B573" s="56">
        <v>500000</v>
      </c>
      <c r="C573" s="58"/>
      <c r="D573" s="56"/>
      <c r="E573" s="56">
        <f>B573-C573+D573</f>
        <v>500000</v>
      </c>
      <c r="F573" s="56">
        <v>250000</v>
      </c>
      <c r="G573" s="57">
        <f t="shared" si="69"/>
        <v>250000</v>
      </c>
      <c r="J573" s="57"/>
      <c r="K573" s="68"/>
      <c r="L573" s="68"/>
      <c r="M573" s="68"/>
    </row>
    <row r="574" spans="1:13">
      <c r="A574" s="322" t="s">
        <v>439</v>
      </c>
      <c r="B574" s="59">
        <f t="shared" ref="B574:G574" si="70">SUM(B569:B573)</f>
        <v>1562856</v>
      </c>
      <c r="C574" s="59">
        <f t="shared" si="70"/>
        <v>0</v>
      </c>
      <c r="D574" s="59">
        <f t="shared" si="70"/>
        <v>834515</v>
      </c>
      <c r="E574" s="59">
        <f t="shared" si="70"/>
        <v>2397371</v>
      </c>
      <c r="F574" s="59">
        <f t="shared" si="70"/>
        <v>571514</v>
      </c>
      <c r="G574" s="59">
        <f t="shared" si="70"/>
        <v>1825857</v>
      </c>
      <c r="J574" s="59"/>
      <c r="K574" s="68"/>
      <c r="L574" s="68"/>
      <c r="M574" s="68"/>
    </row>
    <row r="575" spans="1:13">
      <c r="A575" s="323"/>
      <c r="B575" s="56"/>
      <c r="C575" s="58"/>
      <c r="D575" s="56"/>
      <c r="E575" s="56"/>
      <c r="F575" s="56"/>
      <c r="G575" s="57"/>
      <c r="J575" s="57"/>
      <c r="K575" s="68"/>
      <c r="L575" s="68"/>
      <c r="M575" s="68"/>
    </row>
    <row r="576" spans="1:13">
      <c r="A576" s="60" t="s">
        <v>574</v>
      </c>
      <c r="B576" s="56"/>
      <c r="C576" s="58"/>
      <c r="D576" s="56"/>
      <c r="E576" s="56"/>
      <c r="F576" s="56"/>
      <c r="G576" s="57"/>
      <c r="J576" s="57"/>
      <c r="K576" s="68"/>
      <c r="L576" s="68"/>
      <c r="M576" s="68"/>
    </row>
    <row r="577" spans="1:13">
      <c r="A577" s="321" t="s">
        <v>396</v>
      </c>
      <c r="B577" s="56">
        <v>26169</v>
      </c>
      <c r="C577" s="58"/>
      <c r="D577" s="56"/>
      <c r="E577" s="56">
        <f>B577-C577+D577</f>
        <v>26169</v>
      </c>
      <c r="F577" s="56">
        <v>17085</v>
      </c>
      <c r="G577" s="57">
        <f>E577-F577</f>
        <v>9084</v>
      </c>
      <c r="J577" s="57"/>
      <c r="K577" s="68"/>
      <c r="L577" s="68"/>
      <c r="M577" s="68"/>
    </row>
    <row r="578" spans="1:13">
      <c r="A578" s="321" t="s">
        <v>407</v>
      </c>
      <c r="B578" s="56">
        <v>85900</v>
      </c>
      <c r="C578" s="58">
        <v>0</v>
      </c>
      <c r="D578" s="56">
        <v>0</v>
      </c>
      <c r="E578" s="56">
        <f>B578-C578+D578</f>
        <v>85900</v>
      </c>
      <c r="F578" s="56">
        <v>0</v>
      </c>
      <c r="G578" s="57">
        <f>E578-F578</f>
        <v>85900</v>
      </c>
      <c r="J578" s="57"/>
      <c r="K578" s="68"/>
      <c r="L578" s="68"/>
      <c r="M578" s="68"/>
    </row>
    <row r="579" spans="1:13">
      <c r="A579" s="322" t="s">
        <v>439</v>
      </c>
      <c r="B579" s="59">
        <f t="shared" ref="B579:G579" si="71">SUM(B577:B578)</f>
        <v>112069</v>
      </c>
      <c r="C579" s="59">
        <f t="shared" si="71"/>
        <v>0</v>
      </c>
      <c r="D579" s="59">
        <f t="shared" si="71"/>
        <v>0</v>
      </c>
      <c r="E579" s="59">
        <f t="shared" si="71"/>
        <v>112069</v>
      </c>
      <c r="F579" s="59">
        <f t="shared" si="71"/>
        <v>17085</v>
      </c>
      <c r="G579" s="59">
        <f t="shared" si="71"/>
        <v>94984</v>
      </c>
      <c r="J579" s="59"/>
      <c r="K579" s="68"/>
      <c r="L579" s="68"/>
      <c r="M579" s="68"/>
    </row>
    <row r="580" spans="1:13">
      <c r="A580" s="323"/>
      <c r="B580" s="56"/>
      <c r="C580" s="58"/>
      <c r="D580" s="56"/>
      <c r="E580" s="56"/>
      <c r="F580" s="56"/>
      <c r="G580" s="57"/>
      <c r="J580" s="57"/>
      <c r="K580" s="68"/>
      <c r="L580" s="68"/>
      <c r="M580" s="68"/>
    </row>
    <row r="581" spans="1:13">
      <c r="A581" s="60" t="s">
        <v>575</v>
      </c>
      <c r="B581" s="56"/>
      <c r="C581" s="58"/>
      <c r="D581" s="56"/>
      <c r="E581" s="56"/>
      <c r="F581" s="56"/>
      <c r="G581" s="57"/>
      <c r="J581" s="57"/>
      <c r="K581" s="68"/>
      <c r="L581" s="68"/>
      <c r="M581" s="68"/>
    </row>
    <row r="582" spans="1:13">
      <c r="A582" s="321" t="s">
        <v>395</v>
      </c>
      <c r="B582" s="56">
        <v>0</v>
      </c>
      <c r="C582" s="58"/>
      <c r="D582" s="56">
        <v>585</v>
      </c>
      <c r="E582" s="56">
        <f t="shared" ref="E582:E589" si="72">B582-C582+D582</f>
        <v>585</v>
      </c>
      <c r="F582" s="56">
        <v>0</v>
      </c>
      <c r="G582" s="57">
        <f t="shared" ref="G582:G587" si="73">E582-F582</f>
        <v>585</v>
      </c>
      <c r="J582" s="57"/>
      <c r="K582" s="68"/>
      <c r="L582" s="68"/>
      <c r="M582" s="68"/>
    </row>
    <row r="583" spans="1:13">
      <c r="A583" s="321" t="s">
        <v>396</v>
      </c>
      <c r="B583" s="56">
        <v>60154</v>
      </c>
      <c r="C583" s="58"/>
      <c r="D583" s="56">
        <v>77318</v>
      </c>
      <c r="E583" s="56">
        <f t="shared" si="72"/>
        <v>137472</v>
      </c>
      <c r="F583" s="56">
        <v>44760</v>
      </c>
      <c r="G583" s="57">
        <f t="shared" si="73"/>
        <v>92712</v>
      </c>
      <c r="J583" s="57"/>
      <c r="K583" s="68"/>
      <c r="L583" s="68"/>
      <c r="M583" s="68"/>
    </row>
    <row r="584" spans="1:13">
      <c r="A584" s="321" t="s">
        <v>636</v>
      </c>
      <c r="B584" s="56">
        <v>0</v>
      </c>
      <c r="C584" s="58"/>
      <c r="D584" s="56">
        <v>128502</v>
      </c>
      <c r="E584" s="56">
        <f t="shared" si="72"/>
        <v>128502</v>
      </c>
      <c r="F584" s="56"/>
      <c r="G584" s="57">
        <f t="shared" si="73"/>
        <v>128502</v>
      </c>
      <c r="J584" s="57"/>
      <c r="K584" s="68"/>
      <c r="L584" s="68"/>
      <c r="M584" s="68"/>
    </row>
    <row r="585" spans="1:13">
      <c r="A585" s="321" t="s">
        <v>371</v>
      </c>
      <c r="B585" s="56">
        <v>100000</v>
      </c>
      <c r="C585" s="58"/>
      <c r="D585" s="56">
        <v>21882</v>
      </c>
      <c r="E585" s="56">
        <f t="shared" si="72"/>
        <v>121882</v>
      </c>
      <c r="F585" s="56">
        <v>99150</v>
      </c>
      <c r="G585" s="57">
        <f>E585-F585</f>
        <v>22732</v>
      </c>
      <c r="J585" s="57"/>
      <c r="K585" s="68"/>
      <c r="L585" s="68"/>
      <c r="M585" s="68"/>
    </row>
    <row r="586" spans="1:13">
      <c r="A586" s="321" t="s">
        <v>399</v>
      </c>
      <c r="B586" s="56">
        <v>0</v>
      </c>
      <c r="C586" s="58"/>
      <c r="D586" s="56">
        <v>19000</v>
      </c>
      <c r="E586" s="56">
        <f t="shared" si="72"/>
        <v>19000</v>
      </c>
      <c r="F586" s="56"/>
      <c r="G586" s="57">
        <f t="shared" si="73"/>
        <v>19000</v>
      </c>
      <c r="J586" s="57"/>
      <c r="K586" s="68"/>
      <c r="L586" s="68"/>
      <c r="M586" s="68"/>
    </row>
    <row r="587" spans="1:13">
      <c r="A587" s="321" t="s">
        <v>278</v>
      </c>
      <c r="B587" s="56">
        <v>0</v>
      </c>
      <c r="C587" s="58">
        <v>0</v>
      </c>
      <c r="D587" s="56">
        <v>2000</v>
      </c>
      <c r="E587" s="56">
        <f t="shared" si="72"/>
        <v>2000</v>
      </c>
      <c r="F587" s="56"/>
      <c r="G587" s="57">
        <f t="shared" si="73"/>
        <v>2000</v>
      </c>
      <c r="J587" s="57"/>
      <c r="K587" s="68"/>
      <c r="L587" s="68"/>
      <c r="M587" s="68"/>
    </row>
    <row r="588" spans="1:13">
      <c r="A588" s="321" t="s">
        <v>407</v>
      </c>
      <c r="B588" s="56">
        <v>155264</v>
      </c>
      <c r="C588" s="58">
        <v>0</v>
      </c>
      <c r="D588" s="56">
        <v>150579</v>
      </c>
      <c r="E588" s="56">
        <f t="shared" si="72"/>
        <v>305843</v>
      </c>
      <c r="F588" s="56"/>
      <c r="G588" s="57">
        <f>E588-F588</f>
        <v>305843</v>
      </c>
      <c r="J588" s="57"/>
      <c r="K588" s="68"/>
      <c r="L588" s="68"/>
      <c r="M588" s="68"/>
    </row>
    <row r="589" spans="1:13">
      <c r="A589" s="321" t="s">
        <v>359</v>
      </c>
      <c r="B589" s="56">
        <v>40500</v>
      </c>
      <c r="C589" s="58">
        <v>25274</v>
      </c>
      <c r="D589" s="56">
        <v>20158</v>
      </c>
      <c r="E589" s="56">
        <f t="shared" si="72"/>
        <v>35384</v>
      </c>
      <c r="F589" s="56">
        <v>15226</v>
      </c>
      <c r="G589" s="57">
        <f>E589-F589</f>
        <v>20158</v>
      </c>
      <c r="J589" s="57"/>
      <c r="K589" s="68"/>
      <c r="L589" s="68"/>
      <c r="M589" s="68"/>
    </row>
    <row r="590" spans="1:13">
      <c r="A590" s="322" t="s">
        <v>439</v>
      </c>
      <c r="B590" s="59">
        <f t="shared" ref="B590" si="74">SUM(B582:B589)</f>
        <v>355918</v>
      </c>
      <c r="C590" s="59">
        <f>SUM(C582:C589)</f>
        <v>25274</v>
      </c>
      <c r="D590" s="59">
        <f>SUM(D582:D589)</f>
        <v>420024</v>
      </c>
      <c r="E590" s="59">
        <f>SUM(E582:E589)</f>
        <v>750668</v>
      </c>
      <c r="F590" s="59">
        <f>SUM(F582:F589)</f>
        <v>159136</v>
      </c>
      <c r="G590" s="59">
        <f>SUM(G582:G589)</f>
        <v>591532</v>
      </c>
      <c r="J590" s="59"/>
      <c r="K590" s="68"/>
      <c r="L590" s="68"/>
      <c r="M590" s="68"/>
    </row>
    <row r="591" spans="1:13">
      <c r="A591" s="323"/>
      <c r="B591" s="56"/>
      <c r="C591" s="58"/>
      <c r="D591" s="56"/>
      <c r="E591" s="56"/>
      <c r="F591" s="56"/>
      <c r="G591" s="57"/>
      <c r="J591" s="57"/>
      <c r="K591" s="68"/>
      <c r="L591" s="68"/>
      <c r="M591" s="68"/>
    </row>
    <row r="592" spans="1:13">
      <c r="A592" s="60" t="s">
        <v>576</v>
      </c>
      <c r="B592" s="56"/>
      <c r="C592" s="58"/>
      <c r="D592" s="56"/>
      <c r="E592" s="56"/>
      <c r="F592" s="56"/>
      <c r="G592" s="57"/>
      <c r="J592" s="57"/>
      <c r="K592" s="68"/>
      <c r="L592" s="68"/>
      <c r="M592" s="68"/>
    </row>
    <row r="593" spans="1:13">
      <c r="A593" s="321" t="s">
        <v>395</v>
      </c>
      <c r="B593" s="56">
        <v>0</v>
      </c>
      <c r="C593" s="58"/>
      <c r="D593" s="56">
        <v>15570</v>
      </c>
      <c r="E593" s="56">
        <f t="shared" ref="E593:E599" si="75">B593-C593+D593</f>
        <v>15570</v>
      </c>
      <c r="F593" s="56">
        <v>0</v>
      </c>
      <c r="G593" s="57">
        <f t="shared" ref="G593:G599" si="76">E593-F593</f>
        <v>15570</v>
      </c>
      <c r="J593" s="57"/>
      <c r="K593" s="68"/>
      <c r="L593" s="68"/>
      <c r="M593" s="68"/>
    </row>
    <row r="594" spans="1:13">
      <c r="A594" s="321" t="s">
        <v>399</v>
      </c>
      <c r="B594" s="56">
        <v>0</v>
      </c>
      <c r="C594" s="58"/>
      <c r="D594" s="56">
        <v>7856</v>
      </c>
      <c r="E594" s="56">
        <f t="shared" si="75"/>
        <v>7856</v>
      </c>
      <c r="F594" s="56"/>
      <c r="G594" s="57">
        <f t="shared" si="76"/>
        <v>7856</v>
      </c>
      <c r="J594" s="57"/>
      <c r="K594" s="68"/>
      <c r="L594" s="68"/>
      <c r="M594" s="68"/>
    </row>
    <row r="595" spans="1:13">
      <c r="A595" s="321" t="s">
        <v>396</v>
      </c>
      <c r="B595" s="56">
        <v>1544</v>
      </c>
      <c r="C595" s="58"/>
      <c r="D595" s="56"/>
      <c r="E595" s="56">
        <f t="shared" si="75"/>
        <v>1544</v>
      </c>
      <c r="F595" s="56">
        <v>1544</v>
      </c>
      <c r="G595" s="57">
        <f t="shared" si="76"/>
        <v>0</v>
      </c>
      <c r="J595" s="57"/>
      <c r="K595" s="68"/>
      <c r="L595" s="68"/>
      <c r="M595" s="68"/>
    </row>
    <row r="596" spans="1:13">
      <c r="A596" s="321" t="s">
        <v>371</v>
      </c>
      <c r="B596" s="56">
        <v>6177</v>
      </c>
      <c r="C596" s="58"/>
      <c r="D596" s="56">
        <v>1980</v>
      </c>
      <c r="E596" s="56">
        <f t="shared" si="75"/>
        <v>8157</v>
      </c>
      <c r="F596" s="56">
        <v>6177</v>
      </c>
      <c r="G596" s="57">
        <f t="shared" si="76"/>
        <v>1980</v>
      </c>
      <c r="J596" s="57"/>
      <c r="K596" s="68"/>
      <c r="L596" s="68"/>
      <c r="M596" s="68"/>
    </row>
    <row r="597" spans="1:13">
      <c r="A597" s="321" t="s">
        <v>560</v>
      </c>
      <c r="B597" s="56">
        <v>263</v>
      </c>
      <c r="C597" s="58"/>
      <c r="D597" s="56">
        <v>940</v>
      </c>
      <c r="E597" s="56">
        <f t="shared" si="75"/>
        <v>1203</v>
      </c>
      <c r="F597" s="56">
        <v>263</v>
      </c>
      <c r="G597" s="57">
        <f t="shared" si="76"/>
        <v>940</v>
      </c>
      <c r="J597" s="57"/>
      <c r="K597" s="68"/>
      <c r="L597" s="68"/>
      <c r="M597" s="68"/>
    </row>
    <row r="598" spans="1:13">
      <c r="A598" s="321" t="s">
        <v>278</v>
      </c>
      <c r="B598" s="56">
        <v>13918</v>
      </c>
      <c r="C598" s="58"/>
      <c r="D598" s="56">
        <v>14336</v>
      </c>
      <c r="E598" s="56">
        <f t="shared" si="75"/>
        <v>28254</v>
      </c>
      <c r="F598" s="56">
        <v>13918</v>
      </c>
      <c r="G598" s="57">
        <f t="shared" si="76"/>
        <v>14336</v>
      </c>
      <c r="J598" s="57"/>
      <c r="K598" s="68"/>
      <c r="L598" s="68"/>
      <c r="M598" s="68"/>
    </row>
    <row r="599" spans="1:13">
      <c r="A599" s="321" t="s">
        <v>407</v>
      </c>
      <c r="B599" s="56">
        <v>358867</v>
      </c>
      <c r="C599" s="58"/>
      <c r="D599" s="56"/>
      <c r="E599" s="56">
        <f t="shared" si="75"/>
        <v>358867</v>
      </c>
      <c r="F599" s="56">
        <v>336437</v>
      </c>
      <c r="G599" s="57">
        <f t="shared" si="76"/>
        <v>22430</v>
      </c>
      <c r="J599" s="57"/>
      <c r="K599" s="68"/>
      <c r="L599" s="68"/>
      <c r="M599" s="68"/>
    </row>
    <row r="600" spans="1:13">
      <c r="A600" s="322" t="s">
        <v>439</v>
      </c>
      <c r="B600" s="59">
        <f t="shared" ref="B600:G600" si="77">SUM(B593:B599)</f>
        <v>380769</v>
      </c>
      <c r="C600" s="59">
        <f t="shared" si="77"/>
        <v>0</v>
      </c>
      <c r="D600" s="59">
        <f t="shared" si="77"/>
        <v>40682</v>
      </c>
      <c r="E600" s="59">
        <f t="shared" si="77"/>
        <v>421451</v>
      </c>
      <c r="F600" s="59">
        <f t="shared" si="77"/>
        <v>358339</v>
      </c>
      <c r="G600" s="59">
        <f t="shared" si="77"/>
        <v>63112</v>
      </c>
      <c r="J600" s="59"/>
      <c r="K600" s="68"/>
      <c r="L600" s="68"/>
      <c r="M600" s="68"/>
    </row>
    <row r="601" spans="1:13">
      <c r="A601" s="60"/>
      <c r="B601" s="56"/>
      <c r="C601" s="58"/>
      <c r="D601" s="56"/>
      <c r="E601" s="56"/>
      <c r="F601" s="56"/>
      <c r="G601" s="57"/>
      <c r="J601" s="57"/>
      <c r="K601" s="68"/>
      <c r="L601" s="68"/>
      <c r="M601" s="68"/>
    </row>
    <row r="602" spans="1:13">
      <c r="A602" s="60" t="s">
        <v>577</v>
      </c>
      <c r="B602" s="56"/>
      <c r="C602" s="58"/>
      <c r="D602" s="56"/>
      <c r="E602" s="56"/>
      <c r="F602" s="56"/>
      <c r="G602" s="57"/>
      <c r="J602" s="57"/>
      <c r="K602" s="68"/>
      <c r="L602" s="68"/>
      <c r="M602" s="68"/>
    </row>
    <row r="603" spans="1:13">
      <c r="A603" s="321" t="s">
        <v>395</v>
      </c>
      <c r="B603" s="56">
        <v>3568</v>
      </c>
      <c r="C603" s="58">
        <v>0</v>
      </c>
      <c r="D603" s="56">
        <v>0</v>
      </c>
      <c r="E603" s="56">
        <f t="shared" ref="E603:E608" si="78">B603-C603+D603</f>
        <v>3568</v>
      </c>
      <c r="F603" s="56">
        <v>3568</v>
      </c>
      <c r="G603" s="57">
        <f t="shared" ref="G603:G608" si="79">E603-F603</f>
        <v>0</v>
      </c>
      <c r="J603" s="57"/>
      <c r="K603" s="68"/>
      <c r="L603" s="68"/>
      <c r="M603" s="68"/>
    </row>
    <row r="604" spans="1:13">
      <c r="A604" s="321" t="s">
        <v>396</v>
      </c>
      <c r="B604" s="56">
        <v>21216</v>
      </c>
      <c r="C604" s="58"/>
      <c r="D604" s="56">
        <v>2781</v>
      </c>
      <c r="E604" s="56">
        <f t="shared" si="78"/>
        <v>23997</v>
      </c>
      <c r="F604" s="56">
        <v>1014</v>
      </c>
      <c r="G604" s="57">
        <f t="shared" si="79"/>
        <v>22983</v>
      </c>
      <c r="J604" s="57"/>
      <c r="K604" s="68"/>
      <c r="L604" s="68"/>
      <c r="M604" s="68"/>
    </row>
    <row r="605" spans="1:13">
      <c r="A605" s="321" t="s">
        <v>399</v>
      </c>
      <c r="B605" s="56">
        <v>0</v>
      </c>
      <c r="C605" s="58"/>
      <c r="D605" s="56">
        <v>250</v>
      </c>
      <c r="E605" s="56">
        <f t="shared" si="78"/>
        <v>250</v>
      </c>
      <c r="F605" s="56"/>
      <c r="G605" s="57">
        <f t="shared" si="79"/>
        <v>250</v>
      </c>
      <c r="J605" s="57"/>
      <c r="K605" s="68"/>
      <c r="L605" s="68"/>
      <c r="M605" s="68"/>
    </row>
    <row r="606" spans="1:13">
      <c r="A606" s="321" t="s">
        <v>560</v>
      </c>
      <c r="B606" s="56">
        <v>918</v>
      </c>
      <c r="C606" s="58"/>
      <c r="D606" s="56"/>
      <c r="E606" s="56">
        <f t="shared" si="78"/>
        <v>918</v>
      </c>
      <c r="F606" s="56">
        <v>918</v>
      </c>
      <c r="G606" s="57">
        <f t="shared" si="79"/>
        <v>0</v>
      </c>
      <c r="J606" s="57"/>
      <c r="K606" s="68"/>
      <c r="L606" s="68"/>
      <c r="M606" s="68"/>
    </row>
    <row r="607" spans="1:13">
      <c r="A607" s="321" t="s">
        <v>278</v>
      </c>
      <c r="B607" s="56">
        <v>500</v>
      </c>
      <c r="C607" s="58"/>
      <c r="D607" s="56">
        <v>482</v>
      </c>
      <c r="E607" s="56">
        <f t="shared" si="78"/>
        <v>982</v>
      </c>
      <c r="F607" s="56">
        <v>500</v>
      </c>
      <c r="G607" s="57">
        <f t="shared" si="79"/>
        <v>482</v>
      </c>
      <c r="J607" s="57"/>
      <c r="K607" s="68"/>
      <c r="L607" s="68"/>
      <c r="M607" s="68"/>
    </row>
    <row r="608" spans="1:13">
      <c r="A608" s="321" t="s">
        <v>407</v>
      </c>
      <c r="B608" s="56">
        <v>1437726</v>
      </c>
      <c r="C608" s="58"/>
      <c r="D608" s="56">
        <v>25025</v>
      </c>
      <c r="E608" s="56">
        <f t="shared" si="78"/>
        <v>1462751</v>
      </c>
      <c r="F608" s="56">
        <v>643482</v>
      </c>
      <c r="G608" s="57">
        <f t="shared" si="79"/>
        <v>819269</v>
      </c>
      <c r="J608" s="57"/>
      <c r="K608" s="68"/>
      <c r="L608" s="68"/>
      <c r="M608" s="68"/>
    </row>
    <row r="609" spans="1:13">
      <c r="A609" s="322" t="s">
        <v>439</v>
      </c>
      <c r="B609" s="59">
        <f t="shared" ref="B609:G609" si="80">SUM(B603:B608)</f>
        <v>1463928</v>
      </c>
      <c r="C609" s="59">
        <f t="shared" si="80"/>
        <v>0</v>
      </c>
      <c r="D609" s="59">
        <f t="shared" si="80"/>
        <v>28538</v>
      </c>
      <c r="E609" s="59">
        <f t="shared" si="80"/>
        <v>1492466</v>
      </c>
      <c r="F609" s="59">
        <f t="shared" si="80"/>
        <v>649482</v>
      </c>
      <c r="G609" s="59">
        <f t="shared" si="80"/>
        <v>842984</v>
      </c>
      <c r="J609" s="59"/>
      <c r="K609" s="68"/>
      <c r="L609" s="68"/>
      <c r="M609" s="68"/>
    </row>
    <row r="610" spans="1:13">
      <c r="A610" s="321"/>
      <c r="B610" s="56"/>
      <c r="C610" s="58"/>
      <c r="D610" s="56"/>
      <c r="E610" s="56"/>
      <c r="F610" s="56"/>
      <c r="G610" s="57"/>
      <c r="J610" s="57"/>
      <c r="K610" s="68"/>
      <c r="L610" s="68"/>
      <c r="M610" s="68"/>
    </row>
    <row r="611" spans="1:13">
      <c r="A611" s="324" t="s">
        <v>152</v>
      </c>
      <c r="B611" s="56"/>
      <c r="C611" s="58"/>
      <c r="D611" s="56"/>
      <c r="E611" s="56"/>
      <c r="F611" s="56"/>
      <c r="G611" s="57"/>
      <c r="J611" s="57"/>
      <c r="K611" s="68"/>
      <c r="L611" s="68"/>
      <c r="M611" s="68"/>
    </row>
    <row r="612" spans="1:13">
      <c r="A612" s="321" t="s">
        <v>396</v>
      </c>
      <c r="B612" s="56">
        <v>3968</v>
      </c>
      <c r="C612" s="58"/>
      <c r="D612" s="56"/>
      <c r="E612" s="56">
        <f>B612-C612+D612</f>
        <v>3968</v>
      </c>
      <c r="F612" s="56">
        <v>0</v>
      </c>
      <c r="G612" s="57">
        <f>E612-F612</f>
        <v>3968</v>
      </c>
      <c r="J612" s="57"/>
      <c r="K612" s="68"/>
      <c r="L612" s="68"/>
      <c r="M612" s="68"/>
    </row>
    <row r="613" spans="1:13">
      <c r="A613" s="321" t="s">
        <v>278</v>
      </c>
      <c r="B613" s="56">
        <v>80892</v>
      </c>
      <c r="C613" s="58"/>
      <c r="D613" s="56">
        <v>198056</v>
      </c>
      <c r="E613" s="56">
        <f>B613-C613+D613</f>
        <v>278948</v>
      </c>
      <c r="F613" s="56">
        <v>80892</v>
      </c>
      <c r="G613" s="57">
        <f>E613-F613</f>
        <v>198056</v>
      </c>
      <c r="J613" s="57"/>
      <c r="K613" s="68"/>
      <c r="L613" s="68"/>
      <c r="M613" s="68"/>
    </row>
    <row r="614" spans="1:13">
      <c r="A614" s="322" t="s">
        <v>439</v>
      </c>
      <c r="B614" s="59">
        <f t="shared" ref="B614:G614" si="81">SUM(B612:B613)</f>
        <v>84860</v>
      </c>
      <c r="C614" s="59">
        <f t="shared" si="81"/>
        <v>0</v>
      </c>
      <c r="D614" s="59">
        <f t="shared" si="81"/>
        <v>198056</v>
      </c>
      <c r="E614" s="59">
        <f t="shared" si="81"/>
        <v>282916</v>
      </c>
      <c r="F614" s="59">
        <f t="shared" si="81"/>
        <v>80892</v>
      </c>
      <c r="G614" s="59">
        <f t="shared" si="81"/>
        <v>202024</v>
      </c>
      <c r="J614" s="59"/>
      <c r="K614" s="68"/>
      <c r="L614" s="68"/>
      <c r="M614" s="68"/>
    </row>
    <row r="615" spans="1:13">
      <c r="A615" s="321"/>
      <c r="B615" s="56"/>
      <c r="C615" s="58"/>
      <c r="D615" s="56"/>
      <c r="E615" s="56"/>
      <c r="F615" s="56"/>
      <c r="G615" s="57"/>
      <c r="J615" s="57"/>
      <c r="K615" s="68"/>
      <c r="L615" s="68"/>
      <c r="M615" s="68"/>
    </row>
    <row r="616" spans="1:13">
      <c r="A616" s="324" t="s">
        <v>153</v>
      </c>
      <c r="B616" s="56"/>
      <c r="C616" s="58"/>
      <c r="D616" s="56"/>
      <c r="E616" s="56"/>
      <c r="F616" s="56"/>
      <c r="G616" s="57"/>
      <c r="J616" s="57"/>
      <c r="K616" s="68"/>
      <c r="L616" s="68"/>
      <c r="M616" s="68"/>
    </row>
    <row r="617" spans="1:13">
      <c r="A617" s="321" t="s">
        <v>278</v>
      </c>
      <c r="B617" s="56">
        <v>3000</v>
      </c>
      <c r="C617" s="58">
        <v>0</v>
      </c>
      <c r="D617" s="56"/>
      <c r="E617" s="56">
        <f>B617-C617+D617</f>
        <v>3000</v>
      </c>
      <c r="F617" s="56">
        <v>3000</v>
      </c>
      <c r="G617" s="57">
        <f>E617-F617</f>
        <v>0</v>
      </c>
      <c r="J617" s="57"/>
      <c r="K617" s="68"/>
      <c r="L617" s="68"/>
      <c r="M617" s="68"/>
    </row>
    <row r="618" spans="1:13">
      <c r="A618" s="322" t="s">
        <v>439</v>
      </c>
      <c r="B618" s="59">
        <f t="shared" ref="B618:G618" si="82">SUM(B617:B617)</f>
        <v>3000</v>
      </c>
      <c r="C618" s="59">
        <f t="shared" si="82"/>
        <v>0</v>
      </c>
      <c r="D618" s="59">
        <f t="shared" si="82"/>
        <v>0</v>
      </c>
      <c r="E618" s="59">
        <f t="shared" si="82"/>
        <v>3000</v>
      </c>
      <c r="F618" s="59">
        <f t="shared" si="82"/>
        <v>3000</v>
      </c>
      <c r="G618" s="59">
        <f t="shared" si="82"/>
        <v>0</v>
      </c>
      <c r="J618" s="59"/>
      <c r="K618" s="68"/>
      <c r="L618" s="68"/>
      <c r="M618" s="68"/>
    </row>
    <row r="619" spans="1:13">
      <c r="A619" s="322"/>
      <c r="B619" s="59"/>
      <c r="C619" s="59"/>
      <c r="D619" s="59"/>
      <c r="E619" s="59"/>
      <c r="F619" s="59"/>
      <c r="G619" s="59"/>
      <c r="J619" s="59"/>
      <c r="K619" s="68"/>
      <c r="L619" s="68"/>
      <c r="M619" s="68"/>
    </row>
    <row r="620" spans="1:13">
      <c r="A620" s="324" t="s">
        <v>154</v>
      </c>
      <c r="B620" s="56"/>
      <c r="C620" s="58"/>
      <c r="D620" s="56"/>
      <c r="E620" s="56"/>
      <c r="F620" s="56"/>
      <c r="G620" s="57"/>
      <c r="J620" s="57"/>
      <c r="K620" s="68"/>
      <c r="L620" s="68"/>
      <c r="M620" s="68"/>
    </row>
    <row r="621" spans="1:13">
      <c r="A621" s="321" t="s">
        <v>396</v>
      </c>
      <c r="B621" s="56">
        <v>243</v>
      </c>
      <c r="C621" s="58"/>
      <c r="D621" s="56">
        <v>2999</v>
      </c>
      <c r="E621" s="56">
        <f>B621-C621+D621</f>
        <v>3242</v>
      </c>
      <c r="F621" s="56">
        <v>243</v>
      </c>
      <c r="G621" s="57">
        <f>E621-F621</f>
        <v>2999</v>
      </c>
      <c r="J621" s="57"/>
      <c r="K621" s="68"/>
      <c r="L621" s="68"/>
      <c r="M621" s="68"/>
    </row>
    <row r="622" spans="1:13">
      <c r="A622" s="321" t="s">
        <v>278</v>
      </c>
      <c r="B622" s="56">
        <v>70557</v>
      </c>
      <c r="C622" s="58"/>
      <c r="D622" s="56">
        <v>5425</v>
      </c>
      <c r="E622" s="56">
        <f>B622-C622+D622</f>
        <v>75982</v>
      </c>
      <c r="F622" s="56">
        <v>70557</v>
      </c>
      <c r="G622" s="57">
        <f>E622-F622</f>
        <v>5425</v>
      </c>
      <c r="J622" s="57"/>
      <c r="K622" s="68"/>
      <c r="L622" s="68"/>
      <c r="M622" s="68"/>
    </row>
    <row r="623" spans="1:13">
      <c r="A623" s="322" t="s">
        <v>439</v>
      </c>
      <c r="B623" s="59">
        <f t="shared" ref="B623:G623" si="83">SUM(B621:B622)</f>
        <v>70800</v>
      </c>
      <c r="C623" s="59">
        <f t="shared" si="83"/>
        <v>0</v>
      </c>
      <c r="D623" s="59">
        <f t="shared" si="83"/>
        <v>8424</v>
      </c>
      <c r="E623" s="59">
        <f t="shared" si="83"/>
        <v>79224</v>
      </c>
      <c r="F623" s="59">
        <f t="shared" si="83"/>
        <v>70800</v>
      </c>
      <c r="G623" s="59">
        <f t="shared" si="83"/>
        <v>8424</v>
      </c>
      <c r="J623" s="59"/>
      <c r="K623" s="68"/>
      <c r="L623" s="68"/>
      <c r="M623" s="68"/>
    </row>
    <row r="624" spans="1:13">
      <c r="A624" s="323"/>
      <c r="B624" s="56"/>
      <c r="C624" s="58"/>
      <c r="D624" s="56"/>
      <c r="E624" s="56"/>
      <c r="F624" s="56"/>
      <c r="G624" s="57"/>
      <c r="J624" s="57"/>
      <c r="K624" s="68"/>
      <c r="L624" s="68"/>
      <c r="M624" s="68"/>
    </row>
    <row r="625" spans="1:13">
      <c r="A625" s="60" t="s">
        <v>155</v>
      </c>
      <c r="B625" s="56"/>
      <c r="C625" s="58"/>
      <c r="D625" s="56"/>
      <c r="E625" s="56"/>
      <c r="F625" s="56"/>
      <c r="G625" s="57"/>
      <c r="J625" s="57"/>
      <c r="K625" s="68"/>
      <c r="L625" s="68"/>
      <c r="M625" s="68"/>
    </row>
    <row r="626" spans="1:13">
      <c r="A626" s="321" t="s">
        <v>395</v>
      </c>
      <c r="B626" s="56">
        <v>6027417</v>
      </c>
      <c r="C626" s="58"/>
      <c r="D626" s="56">
        <v>55703</v>
      </c>
      <c r="E626" s="56">
        <f t="shared" ref="E626:E636" si="84">B626-C626+D626</f>
        <v>6083120</v>
      </c>
      <c r="F626" s="56">
        <v>4141361</v>
      </c>
      <c r="G626" s="57">
        <f t="shared" ref="G626:G634" si="85">E626-F626</f>
        <v>1941759</v>
      </c>
      <c r="J626" s="57"/>
      <c r="K626" s="68"/>
      <c r="L626" s="68"/>
      <c r="M626" s="68"/>
    </row>
    <row r="627" spans="1:13">
      <c r="A627" s="321" t="s">
        <v>396</v>
      </c>
      <c r="B627" s="56">
        <v>570170</v>
      </c>
      <c r="C627" s="58"/>
      <c r="D627" s="56">
        <v>2252273</v>
      </c>
      <c r="E627" s="56">
        <f t="shared" si="84"/>
        <v>2822443</v>
      </c>
      <c r="F627" s="56">
        <v>570170</v>
      </c>
      <c r="G627" s="57">
        <f t="shared" si="85"/>
        <v>2252273</v>
      </c>
      <c r="J627" s="57"/>
      <c r="K627" s="68"/>
      <c r="L627" s="68"/>
      <c r="M627" s="68"/>
    </row>
    <row r="628" spans="1:13">
      <c r="A628" s="321" t="s">
        <v>397</v>
      </c>
      <c r="B628" s="56">
        <v>73927</v>
      </c>
      <c r="C628" s="58"/>
      <c r="D628" s="56">
        <v>121330</v>
      </c>
      <c r="E628" s="56">
        <f t="shared" si="84"/>
        <v>195257</v>
      </c>
      <c r="F628" s="56">
        <v>43092</v>
      </c>
      <c r="G628" s="57">
        <f t="shared" si="85"/>
        <v>152165</v>
      </c>
      <c r="J628" s="57"/>
      <c r="K628" s="68"/>
      <c r="L628" s="68"/>
      <c r="M628" s="68"/>
    </row>
    <row r="629" spans="1:13">
      <c r="A629" s="321" t="s">
        <v>21</v>
      </c>
      <c r="B629" s="56">
        <v>900000</v>
      </c>
      <c r="C629" s="58"/>
      <c r="D629" s="56">
        <v>858896</v>
      </c>
      <c r="E629" s="56">
        <f t="shared" si="84"/>
        <v>1758896</v>
      </c>
      <c r="F629" s="56">
        <v>706495</v>
      </c>
      <c r="G629" s="57">
        <f t="shared" si="85"/>
        <v>1052401</v>
      </c>
      <c r="J629" s="57"/>
      <c r="K629" s="68"/>
      <c r="L629" s="68"/>
      <c r="M629" s="68"/>
    </row>
    <row r="630" spans="1:13">
      <c r="A630" s="321" t="s">
        <v>398</v>
      </c>
      <c r="B630" s="56">
        <v>450000</v>
      </c>
      <c r="C630" s="58">
        <v>181717</v>
      </c>
      <c r="D630" s="56">
        <v>0</v>
      </c>
      <c r="E630" s="56">
        <f t="shared" si="84"/>
        <v>268283</v>
      </c>
      <c r="F630" s="56">
        <v>268283</v>
      </c>
      <c r="G630" s="57">
        <f t="shared" si="85"/>
        <v>0</v>
      </c>
      <c r="J630" s="57"/>
      <c r="K630" s="68"/>
      <c r="L630" s="68"/>
      <c r="M630" s="68"/>
    </row>
    <row r="631" spans="1:13">
      <c r="A631" s="321" t="s">
        <v>636</v>
      </c>
      <c r="B631" s="56">
        <v>0</v>
      </c>
      <c r="C631" s="58"/>
      <c r="D631" s="56">
        <v>1703118</v>
      </c>
      <c r="E631" s="56">
        <f t="shared" si="84"/>
        <v>1703118</v>
      </c>
      <c r="F631" s="56"/>
      <c r="G631" s="57">
        <f t="shared" si="85"/>
        <v>1703118</v>
      </c>
      <c r="J631" s="57"/>
      <c r="K631" s="68"/>
      <c r="L631" s="68"/>
      <c r="M631" s="68"/>
    </row>
    <row r="632" spans="1:13">
      <c r="A632" s="321" t="s">
        <v>399</v>
      </c>
      <c r="B632" s="56">
        <v>714180</v>
      </c>
      <c r="C632" s="58"/>
      <c r="D632" s="56">
        <v>2175829</v>
      </c>
      <c r="E632" s="56">
        <f t="shared" si="84"/>
        <v>2890009</v>
      </c>
      <c r="F632" s="56">
        <v>714180</v>
      </c>
      <c r="G632" s="57">
        <f t="shared" si="85"/>
        <v>2175829</v>
      </c>
      <c r="J632" s="57"/>
      <c r="K632" s="68"/>
      <c r="L632" s="68"/>
      <c r="M632" s="68"/>
    </row>
    <row r="633" spans="1:13">
      <c r="A633" s="321" t="s">
        <v>560</v>
      </c>
      <c r="B633" s="56">
        <v>9717</v>
      </c>
      <c r="C633" s="58"/>
      <c r="D633" s="56"/>
      <c r="E633" s="56">
        <f t="shared" si="84"/>
        <v>9717</v>
      </c>
      <c r="F633" s="56">
        <v>9717</v>
      </c>
      <c r="G633" s="57">
        <f t="shared" si="85"/>
        <v>0</v>
      </c>
      <c r="J633" s="57"/>
      <c r="K633" s="68"/>
      <c r="L633" s="68"/>
      <c r="M633" s="68"/>
    </row>
    <row r="634" spans="1:13">
      <c r="A634" s="321" t="s">
        <v>278</v>
      </c>
      <c r="B634" s="56">
        <v>1766802</v>
      </c>
      <c r="C634" s="58">
        <v>1229000</v>
      </c>
      <c r="D634" s="56">
        <v>1840621</v>
      </c>
      <c r="E634" s="56">
        <f t="shared" si="84"/>
        <v>2378423</v>
      </c>
      <c r="F634" s="56">
        <v>537802</v>
      </c>
      <c r="G634" s="57">
        <f t="shared" si="85"/>
        <v>1840621</v>
      </c>
      <c r="J634" s="57"/>
      <c r="K634" s="68"/>
      <c r="L634" s="68"/>
      <c r="M634" s="68"/>
    </row>
    <row r="635" spans="1:13">
      <c r="A635" s="321" t="s">
        <v>407</v>
      </c>
      <c r="B635" s="56">
        <v>1331915</v>
      </c>
      <c r="C635" s="58"/>
      <c r="D635" s="56">
        <v>1520614</v>
      </c>
      <c r="E635" s="56">
        <f t="shared" si="84"/>
        <v>2852529</v>
      </c>
      <c r="F635" s="56">
        <v>1331915</v>
      </c>
      <c r="G635" s="57">
        <f>E635-F635</f>
        <v>1520614</v>
      </c>
      <c r="J635" s="57"/>
      <c r="K635" s="68"/>
      <c r="L635" s="68"/>
      <c r="M635" s="68"/>
    </row>
    <row r="636" spans="1:13">
      <c r="A636" s="321" t="s">
        <v>359</v>
      </c>
      <c r="B636" s="56">
        <v>4339722</v>
      </c>
      <c r="C636" s="58">
        <v>2012659</v>
      </c>
      <c r="D636" s="56">
        <v>5002560</v>
      </c>
      <c r="E636" s="56">
        <f t="shared" si="84"/>
        <v>7329623</v>
      </c>
      <c r="F636" s="56">
        <v>2327063</v>
      </c>
      <c r="G636" s="57">
        <f>E636-F636</f>
        <v>5002560</v>
      </c>
      <c r="J636" s="57"/>
      <c r="K636" s="68"/>
      <c r="L636" s="68"/>
      <c r="M636" s="68"/>
    </row>
    <row r="637" spans="1:13">
      <c r="A637" s="322" t="s">
        <v>439</v>
      </c>
      <c r="B637" s="59">
        <f t="shared" ref="B637" si="86">SUM(B626:B636)</f>
        <v>16183850</v>
      </c>
      <c r="C637" s="59">
        <f>SUM(C626:C636)</f>
        <v>3423376</v>
      </c>
      <c r="D637" s="59">
        <f>SUM(D626:D636)</f>
        <v>15530944</v>
      </c>
      <c r="E637" s="59">
        <f>SUM(E626:E636)</f>
        <v>28291418</v>
      </c>
      <c r="F637" s="59">
        <f>SUM(F626:F636)</f>
        <v>10650078</v>
      </c>
      <c r="G637" s="59">
        <f>SUM(G626:G636)</f>
        <v>17641340</v>
      </c>
      <c r="J637" s="59"/>
      <c r="K637" s="68"/>
      <c r="L637" s="68"/>
      <c r="M637" s="68"/>
    </row>
    <row r="638" spans="1:13">
      <c r="A638" s="60"/>
      <c r="B638" s="56"/>
      <c r="C638" s="58"/>
      <c r="D638" s="56"/>
      <c r="E638" s="56"/>
      <c r="F638" s="56"/>
      <c r="G638" s="57"/>
      <c r="J638" s="57"/>
      <c r="K638" s="68"/>
      <c r="L638" s="68"/>
      <c r="M638" s="68"/>
    </row>
    <row r="639" spans="1:13">
      <c r="A639" s="60" t="s">
        <v>156</v>
      </c>
      <c r="B639" s="56"/>
      <c r="C639" s="58"/>
      <c r="D639" s="56"/>
      <c r="E639" s="56"/>
      <c r="F639" s="56"/>
      <c r="G639" s="57"/>
      <c r="J639" s="57"/>
      <c r="K639" s="68"/>
      <c r="L639" s="68"/>
      <c r="M639" s="68"/>
    </row>
    <row r="640" spans="1:13">
      <c r="A640" s="321" t="s">
        <v>21</v>
      </c>
      <c r="B640" s="56">
        <v>766884</v>
      </c>
      <c r="C640" s="58">
        <v>0</v>
      </c>
      <c r="D640" s="56">
        <v>71727</v>
      </c>
      <c r="E640" s="56">
        <f t="shared" ref="E640:E645" si="87">B640-C640+D640</f>
        <v>838611</v>
      </c>
      <c r="F640" s="56">
        <v>766884</v>
      </c>
      <c r="G640" s="57">
        <f t="shared" ref="G640:G645" si="88">E640-F640</f>
        <v>71727</v>
      </c>
      <c r="J640" s="57"/>
      <c r="K640" s="68"/>
      <c r="L640" s="68"/>
      <c r="M640" s="68"/>
    </row>
    <row r="641" spans="1:13">
      <c r="A641" s="321" t="s">
        <v>399</v>
      </c>
      <c r="B641" s="56">
        <v>0</v>
      </c>
      <c r="C641" s="58">
        <v>0</v>
      </c>
      <c r="D641" s="56">
        <v>1430927</v>
      </c>
      <c r="E641" s="56">
        <f t="shared" si="87"/>
        <v>1430927</v>
      </c>
      <c r="F641" s="56">
        <v>0</v>
      </c>
      <c r="G641" s="57">
        <f t="shared" si="88"/>
        <v>1430927</v>
      </c>
      <c r="J641" s="57"/>
      <c r="K641" s="68"/>
      <c r="L641" s="68"/>
      <c r="M641" s="68"/>
    </row>
    <row r="642" spans="1:13">
      <c r="A642" s="321" t="s">
        <v>636</v>
      </c>
      <c r="B642" s="56">
        <v>0</v>
      </c>
      <c r="C642" s="58"/>
      <c r="D642" s="56">
        <v>2463595</v>
      </c>
      <c r="E642" s="56">
        <f t="shared" si="87"/>
        <v>2463595</v>
      </c>
      <c r="F642" s="56"/>
      <c r="G642" s="57">
        <f t="shared" si="88"/>
        <v>2463595</v>
      </c>
      <c r="J642" s="57"/>
      <c r="K642" s="68"/>
      <c r="L642" s="68"/>
      <c r="M642" s="68"/>
    </row>
    <row r="643" spans="1:13">
      <c r="A643" s="321" t="s">
        <v>18</v>
      </c>
      <c r="B643" s="56">
        <v>0</v>
      </c>
      <c r="C643" s="58"/>
      <c r="D643" s="56">
        <v>1101658</v>
      </c>
      <c r="E643" s="56">
        <f t="shared" si="87"/>
        <v>1101658</v>
      </c>
      <c r="F643" s="56"/>
      <c r="G643" s="57">
        <f t="shared" si="88"/>
        <v>1101658</v>
      </c>
      <c r="J643" s="57"/>
      <c r="K643" s="68"/>
      <c r="L643" s="68"/>
      <c r="M643" s="68"/>
    </row>
    <row r="644" spans="1:13">
      <c r="A644" s="321" t="s">
        <v>407</v>
      </c>
      <c r="B644" s="56">
        <v>6681</v>
      </c>
      <c r="C644" s="58">
        <v>0</v>
      </c>
      <c r="D644" s="56"/>
      <c r="E644" s="56">
        <f t="shared" si="87"/>
        <v>6681</v>
      </c>
      <c r="F644" s="56">
        <v>6681</v>
      </c>
      <c r="G644" s="57">
        <f t="shared" si="88"/>
        <v>0</v>
      </c>
      <c r="J644" s="57"/>
      <c r="K644" s="68"/>
      <c r="L644" s="68"/>
      <c r="M644" s="68"/>
    </row>
    <row r="645" spans="1:13">
      <c r="A645" s="321" t="s">
        <v>359</v>
      </c>
      <c r="B645" s="56">
        <v>4725212</v>
      </c>
      <c r="C645" s="58">
        <v>580130</v>
      </c>
      <c r="D645" s="56">
        <v>94150</v>
      </c>
      <c r="E645" s="56">
        <f t="shared" si="87"/>
        <v>4239232</v>
      </c>
      <c r="F645" s="56">
        <v>3295402</v>
      </c>
      <c r="G645" s="57">
        <f t="shared" si="88"/>
        <v>943830</v>
      </c>
      <c r="J645" s="57"/>
      <c r="K645" s="68"/>
      <c r="L645" s="68"/>
      <c r="M645" s="68"/>
    </row>
    <row r="646" spans="1:13">
      <c r="A646" s="322" t="s">
        <v>439</v>
      </c>
      <c r="B646" s="59">
        <f t="shared" ref="B646" si="89">SUM(B640:B645)</f>
        <v>5498777</v>
      </c>
      <c r="C646" s="59">
        <f>SUM(C640:C645)</f>
        <v>580130</v>
      </c>
      <c r="D646" s="59">
        <f>SUM(D640:D645)</f>
        <v>5162057</v>
      </c>
      <c r="E646" s="59">
        <f>SUM(E640:E645)</f>
        <v>10080704</v>
      </c>
      <c r="F646" s="59">
        <f>SUM(F640:F645)</f>
        <v>4068967</v>
      </c>
      <c r="G646" s="59">
        <f>SUM(G640:G645)</f>
        <v>6011737</v>
      </c>
      <c r="J646" s="59"/>
      <c r="K646" s="68"/>
      <c r="L646" s="68"/>
      <c r="M646" s="68"/>
    </row>
    <row r="647" spans="1:13">
      <c r="A647" s="60"/>
      <c r="B647" s="56"/>
      <c r="C647" s="58"/>
      <c r="D647" s="56"/>
      <c r="E647" s="56"/>
      <c r="F647" s="56"/>
      <c r="G647" s="57"/>
      <c r="J647" s="57"/>
      <c r="K647" s="68"/>
      <c r="L647" s="68"/>
      <c r="M647" s="68"/>
    </row>
    <row r="648" spans="1:13">
      <c r="A648" s="60" t="s">
        <v>157</v>
      </c>
      <c r="B648" s="56"/>
      <c r="C648" s="58"/>
      <c r="D648" s="56"/>
      <c r="E648" s="56"/>
      <c r="F648" s="56"/>
      <c r="G648" s="57"/>
      <c r="J648" s="57"/>
      <c r="K648" s="68"/>
      <c r="L648" s="68"/>
      <c r="M648" s="68"/>
    </row>
    <row r="649" spans="1:13">
      <c r="A649" s="321" t="s">
        <v>21</v>
      </c>
      <c r="B649" s="56">
        <v>500000</v>
      </c>
      <c r="C649" s="58"/>
      <c r="D649" s="56"/>
      <c r="E649" s="56">
        <f>B649-C649+D649</f>
        <v>500000</v>
      </c>
      <c r="F649" s="56">
        <v>500000</v>
      </c>
      <c r="G649" s="57">
        <f t="shared" ref="G649:G652" si="90">E649-F649</f>
        <v>0</v>
      </c>
      <c r="J649" s="57"/>
      <c r="K649" s="68"/>
      <c r="L649" s="68"/>
      <c r="M649" s="68"/>
    </row>
    <row r="650" spans="1:13">
      <c r="A650" s="321" t="s">
        <v>278</v>
      </c>
      <c r="B650" s="56">
        <v>140000</v>
      </c>
      <c r="C650" s="58">
        <v>140000</v>
      </c>
      <c r="D650" s="56"/>
      <c r="E650" s="56">
        <f>B650-C650+D650</f>
        <v>0</v>
      </c>
      <c r="F650" s="56">
        <v>0</v>
      </c>
      <c r="G650" s="57">
        <f t="shared" si="90"/>
        <v>0</v>
      </c>
      <c r="J650" s="57"/>
      <c r="K650" s="68"/>
      <c r="L650" s="68"/>
      <c r="M650" s="68"/>
    </row>
    <row r="651" spans="1:13">
      <c r="A651" s="321" t="s">
        <v>407</v>
      </c>
      <c r="B651" s="56"/>
      <c r="C651" s="58"/>
      <c r="D651" s="56"/>
      <c r="E651" s="56">
        <f>B651-C651+D651</f>
        <v>0</v>
      </c>
      <c r="F651" s="56"/>
      <c r="G651" s="57">
        <f t="shared" si="90"/>
        <v>0</v>
      </c>
      <c r="J651" s="57"/>
      <c r="K651" s="68"/>
      <c r="L651" s="68"/>
      <c r="M651" s="68"/>
    </row>
    <row r="652" spans="1:13">
      <c r="A652" s="321" t="s">
        <v>359</v>
      </c>
      <c r="B652" s="56">
        <v>1635443</v>
      </c>
      <c r="C652" s="58">
        <v>1635443</v>
      </c>
      <c r="D652" s="56"/>
      <c r="E652" s="56">
        <f>B652-C652+D652</f>
        <v>0</v>
      </c>
      <c r="F652" s="56"/>
      <c r="G652" s="57">
        <f t="shared" si="90"/>
        <v>0</v>
      </c>
      <c r="J652" s="57"/>
      <c r="K652" s="68"/>
      <c r="L652" s="68"/>
      <c r="M652" s="68"/>
    </row>
    <row r="653" spans="1:13">
      <c r="A653" s="322" t="s">
        <v>439</v>
      </c>
      <c r="B653" s="59">
        <f t="shared" ref="B653" si="91">SUM(B649:B652)</f>
        <v>2275443</v>
      </c>
      <c r="C653" s="59">
        <f>SUM(C649:C652)</f>
        <v>1775443</v>
      </c>
      <c r="D653" s="59">
        <f>SUM(D649:D652)</f>
        <v>0</v>
      </c>
      <c r="E653" s="59">
        <f>SUM(E649:E652)</f>
        <v>500000</v>
      </c>
      <c r="F653" s="59">
        <f>SUM(F649:F652)</f>
        <v>500000</v>
      </c>
      <c r="G653" s="59">
        <f>SUM(G649:G652)</f>
        <v>0</v>
      </c>
      <c r="J653" s="59"/>
      <c r="K653" s="68"/>
      <c r="L653" s="68"/>
      <c r="M653" s="68"/>
    </row>
    <row r="654" spans="1:13">
      <c r="A654" s="321"/>
      <c r="B654" s="56"/>
      <c r="C654" s="58"/>
      <c r="D654" s="56"/>
      <c r="E654" s="56"/>
      <c r="F654" s="56"/>
      <c r="G654" s="57"/>
      <c r="J654" s="57"/>
      <c r="K654" s="68"/>
      <c r="L654" s="68"/>
      <c r="M654" s="68"/>
    </row>
    <row r="655" spans="1:13">
      <c r="A655" s="324" t="s">
        <v>158</v>
      </c>
      <c r="B655" s="56"/>
      <c r="C655" s="58"/>
      <c r="D655" s="56"/>
      <c r="E655" s="56"/>
      <c r="F655" s="56"/>
      <c r="G655" s="57"/>
      <c r="J655" s="57"/>
      <c r="K655" s="68"/>
      <c r="L655" s="68"/>
      <c r="M655" s="68"/>
    </row>
    <row r="656" spans="1:13">
      <c r="A656" s="321" t="s">
        <v>394</v>
      </c>
      <c r="B656" s="56">
        <v>331351</v>
      </c>
      <c r="C656" s="56">
        <v>331351</v>
      </c>
      <c r="D656" s="56">
        <v>0</v>
      </c>
      <c r="E656" s="56">
        <f>B656-C656+D656</f>
        <v>0</v>
      </c>
      <c r="F656" s="56">
        <v>0</v>
      </c>
      <c r="G656" s="57">
        <f t="shared" ref="G656" si="92">E656-F656</f>
        <v>0</v>
      </c>
      <c r="J656" s="57"/>
      <c r="K656" s="68"/>
      <c r="L656" s="68"/>
      <c r="M656" s="68"/>
    </row>
    <row r="657" spans="1:15">
      <c r="A657" s="322" t="s">
        <v>439</v>
      </c>
      <c r="B657" s="59">
        <f t="shared" ref="B657:G657" si="93">SUM(B656:B656)</f>
        <v>331351</v>
      </c>
      <c r="C657" s="59">
        <f t="shared" si="93"/>
        <v>331351</v>
      </c>
      <c r="D657" s="59">
        <f t="shared" si="93"/>
        <v>0</v>
      </c>
      <c r="E657" s="59">
        <f t="shared" si="93"/>
        <v>0</v>
      </c>
      <c r="F657" s="59">
        <f t="shared" si="93"/>
        <v>0</v>
      </c>
      <c r="G657" s="59">
        <f t="shared" si="93"/>
        <v>0</v>
      </c>
      <c r="J657" s="59"/>
      <c r="K657" s="68"/>
      <c r="L657" s="68"/>
      <c r="M657" s="68"/>
    </row>
    <row r="658" spans="1:15">
      <c r="A658" s="321"/>
      <c r="B658" s="56"/>
      <c r="C658" s="58"/>
      <c r="D658" s="56"/>
      <c r="E658" s="56"/>
      <c r="F658" s="56"/>
      <c r="G658" s="57"/>
      <c r="J658" s="57"/>
      <c r="K658" s="68"/>
      <c r="L658" s="68"/>
      <c r="M658" s="68"/>
    </row>
    <row r="659" spans="1:15">
      <c r="A659" s="324" t="s">
        <v>159</v>
      </c>
      <c r="B659" s="56"/>
      <c r="C659" s="58"/>
      <c r="D659" s="56"/>
      <c r="E659" s="56"/>
      <c r="F659" s="56"/>
      <c r="G659" s="57"/>
      <c r="J659" s="57"/>
      <c r="K659" s="68"/>
      <c r="L659" s="68"/>
      <c r="M659" s="68"/>
    </row>
    <row r="660" spans="1:15">
      <c r="A660" s="321" t="s">
        <v>278</v>
      </c>
      <c r="B660" s="56">
        <v>432891</v>
      </c>
      <c r="C660" s="58"/>
      <c r="D660" s="56"/>
      <c r="E660" s="56">
        <f>B660-C660+D660</f>
        <v>432891</v>
      </c>
      <c r="F660" s="56">
        <v>432891</v>
      </c>
      <c r="G660" s="57">
        <f>E660-F660</f>
        <v>0</v>
      </c>
      <c r="J660" s="57"/>
      <c r="K660" s="68"/>
      <c r="L660" s="68"/>
      <c r="M660" s="68"/>
    </row>
    <row r="661" spans="1:15">
      <c r="A661" s="321" t="s">
        <v>396</v>
      </c>
      <c r="B661" s="56">
        <v>520929</v>
      </c>
      <c r="C661" s="58"/>
      <c r="D661" s="56">
        <v>177913</v>
      </c>
      <c r="E661" s="56">
        <f>B661-C661+D661</f>
        <v>698842</v>
      </c>
      <c r="F661" s="56">
        <v>343999</v>
      </c>
      <c r="G661" s="57">
        <f>E661-F661</f>
        <v>354843</v>
      </c>
      <c r="J661" s="57"/>
      <c r="K661" s="68"/>
      <c r="L661" s="68"/>
      <c r="M661" s="68"/>
    </row>
    <row r="662" spans="1:15">
      <c r="A662" s="322" t="s">
        <v>439</v>
      </c>
      <c r="B662" s="59">
        <f t="shared" ref="B662:G662" si="94">SUM(B660:B661)</f>
        <v>953820</v>
      </c>
      <c r="C662" s="59">
        <f t="shared" si="94"/>
        <v>0</v>
      </c>
      <c r="D662" s="59">
        <f t="shared" si="94"/>
        <v>177913</v>
      </c>
      <c r="E662" s="59">
        <f t="shared" si="94"/>
        <v>1131733</v>
      </c>
      <c r="F662" s="59">
        <f t="shared" si="94"/>
        <v>776890</v>
      </c>
      <c r="G662" s="59">
        <f t="shared" si="94"/>
        <v>354843</v>
      </c>
      <c r="J662" s="59"/>
      <c r="K662" s="68"/>
      <c r="L662" s="68"/>
      <c r="M662" s="68"/>
    </row>
    <row r="663" spans="1:15">
      <c r="A663" s="321"/>
      <c r="B663" s="56"/>
      <c r="C663" s="58"/>
      <c r="D663" s="56"/>
      <c r="E663" s="56"/>
      <c r="F663" s="56"/>
      <c r="G663" s="57"/>
      <c r="J663" s="57"/>
      <c r="K663" s="68"/>
      <c r="L663" s="68"/>
      <c r="M663" s="68"/>
    </row>
    <row r="664" spans="1:15">
      <c r="A664" s="324" t="s">
        <v>160</v>
      </c>
      <c r="B664" s="56"/>
      <c r="C664" s="58"/>
      <c r="D664" s="56"/>
      <c r="E664" s="56"/>
      <c r="F664" s="56"/>
      <c r="G664" s="57"/>
      <c r="J664" s="57"/>
      <c r="K664" s="68"/>
      <c r="L664" s="68"/>
      <c r="M664" s="68"/>
    </row>
    <row r="665" spans="1:15">
      <c r="A665" s="321" t="s">
        <v>278</v>
      </c>
      <c r="B665" s="56">
        <v>0</v>
      </c>
      <c r="C665" s="58">
        <v>0</v>
      </c>
      <c r="D665" s="56">
        <v>0</v>
      </c>
      <c r="E665" s="56">
        <f>B665-C665+D665</f>
        <v>0</v>
      </c>
      <c r="F665" s="56">
        <v>0</v>
      </c>
      <c r="G665" s="57">
        <f>E665-F665</f>
        <v>0</v>
      </c>
      <c r="J665" s="57"/>
      <c r="K665" s="68"/>
      <c r="L665" s="68"/>
      <c r="M665" s="68"/>
    </row>
    <row r="666" spans="1:15">
      <c r="A666" s="321" t="s">
        <v>396</v>
      </c>
      <c r="B666" s="56">
        <v>6029</v>
      </c>
      <c r="C666" s="58"/>
      <c r="D666" s="56"/>
      <c r="E666" s="56">
        <f>B666-C666+D666</f>
        <v>6029</v>
      </c>
      <c r="F666" s="56">
        <v>6029</v>
      </c>
      <c r="G666" s="57">
        <f>E666-F666</f>
        <v>0</v>
      </c>
      <c r="J666" s="57"/>
      <c r="K666" s="68"/>
      <c r="L666" s="68"/>
      <c r="M666" s="68"/>
    </row>
    <row r="667" spans="1:15">
      <c r="A667" s="322" t="s">
        <v>439</v>
      </c>
      <c r="B667" s="59">
        <f t="shared" ref="B667:G667" si="95">SUM(B665:B666)</f>
        <v>6029</v>
      </c>
      <c r="C667" s="59">
        <f t="shared" si="95"/>
        <v>0</v>
      </c>
      <c r="D667" s="59">
        <f t="shared" si="95"/>
        <v>0</v>
      </c>
      <c r="E667" s="59">
        <f t="shared" si="95"/>
        <v>6029</v>
      </c>
      <c r="F667" s="59">
        <f t="shared" si="95"/>
        <v>6029</v>
      </c>
      <c r="G667" s="59">
        <f t="shared" si="95"/>
        <v>0</v>
      </c>
      <c r="J667" s="59"/>
      <c r="K667" s="68"/>
      <c r="L667" s="68"/>
      <c r="M667" s="68"/>
    </row>
    <row r="668" spans="1:15">
      <c r="A668" s="321"/>
      <c r="B668" s="56"/>
      <c r="C668" s="58"/>
      <c r="D668" s="56"/>
      <c r="E668" s="56"/>
      <c r="F668" s="56"/>
      <c r="G668" s="57"/>
      <c r="J668" s="57"/>
      <c r="K668" s="68"/>
      <c r="L668" s="68"/>
      <c r="M668" s="68"/>
    </row>
    <row r="669" spans="1:15">
      <c r="A669" s="324" t="s">
        <v>161</v>
      </c>
      <c r="B669" s="56"/>
      <c r="C669" s="58"/>
      <c r="D669" s="56"/>
      <c r="E669" s="56"/>
      <c r="F669" s="56"/>
      <c r="G669" s="57"/>
      <c r="J669" s="57"/>
      <c r="K669" s="68"/>
      <c r="L669" s="68"/>
      <c r="M669" s="68"/>
      <c r="N669" s="77">
        <v>1896632</v>
      </c>
      <c r="O669" s="77">
        <v>22508207</v>
      </c>
    </row>
    <row r="670" spans="1:15">
      <c r="A670" s="321" t="s">
        <v>278</v>
      </c>
      <c r="B670" s="56">
        <v>505049</v>
      </c>
      <c r="C670" s="58">
        <v>0</v>
      </c>
      <c r="D670" s="56"/>
      <c r="E670" s="56">
        <f>B670-C670+D670</f>
        <v>505049</v>
      </c>
      <c r="F670" s="56">
        <v>505049</v>
      </c>
      <c r="G670" s="57">
        <f>E670-F670</f>
        <v>0</v>
      </c>
      <c r="J670" s="57"/>
      <c r="K670" s="68"/>
      <c r="L670" s="68"/>
      <c r="M670" s="68"/>
      <c r="N670" s="77">
        <v>711324</v>
      </c>
    </row>
    <row r="671" spans="1:15">
      <c r="A671" s="321" t="s">
        <v>394</v>
      </c>
      <c r="B671" s="56">
        <v>0</v>
      </c>
      <c r="C671" s="58">
        <v>0</v>
      </c>
      <c r="D671" s="56">
        <v>1654316</v>
      </c>
      <c r="E671" s="56">
        <f>B671-C671+D671</f>
        <v>1654316</v>
      </c>
      <c r="F671" s="56"/>
      <c r="G671" s="57">
        <f>E671-F671</f>
        <v>1654316</v>
      </c>
      <c r="J671" s="57"/>
      <c r="K671" s="68"/>
      <c r="L671" s="68"/>
      <c r="M671" s="68"/>
    </row>
    <row r="672" spans="1:15">
      <c r="A672" s="322" t="s">
        <v>439</v>
      </c>
      <c r="B672" s="59">
        <f t="shared" ref="B672:G672" si="96">SUM(B670:B671)</f>
        <v>505049</v>
      </c>
      <c r="C672" s="59">
        <f t="shared" si="96"/>
        <v>0</v>
      </c>
      <c r="D672" s="59">
        <f t="shared" si="96"/>
        <v>1654316</v>
      </c>
      <c r="E672" s="59">
        <f t="shared" si="96"/>
        <v>2159365</v>
      </c>
      <c r="F672" s="59">
        <f t="shared" si="96"/>
        <v>505049</v>
      </c>
      <c r="G672" s="59">
        <f t="shared" si="96"/>
        <v>1654316</v>
      </c>
      <c r="J672" s="59"/>
      <c r="K672" s="68"/>
      <c r="L672" s="68"/>
      <c r="M672" s="68"/>
    </row>
    <row r="673" spans="1:14">
      <c r="A673" s="321"/>
      <c r="B673" s="56"/>
      <c r="C673" s="58"/>
      <c r="D673" s="56"/>
      <c r="E673" s="56"/>
      <c r="F673" s="56"/>
      <c r="G673" s="57"/>
      <c r="J673" s="57"/>
      <c r="K673" s="68"/>
      <c r="L673" s="68"/>
      <c r="M673" s="68"/>
    </row>
    <row r="674" spans="1:14">
      <c r="A674" s="324" t="s">
        <v>162</v>
      </c>
      <c r="B674" s="56"/>
      <c r="C674" s="58"/>
      <c r="D674" s="56"/>
      <c r="E674" s="56"/>
      <c r="F674" s="56"/>
      <c r="G674" s="57"/>
      <c r="J674" s="57"/>
      <c r="K674" s="68"/>
      <c r="L674" s="68"/>
      <c r="M674" s="68"/>
    </row>
    <row r="675" spans="1:14">
      <c r="A675" s="321" t="s">
        <v>394</v>
      </c>
      <c r="B675" s="56">
        <v>871992</v>
      </c>
      <c r="C675" s="58">
        <v>871992</v>
      </c>
      <c r="D675" s="56">
        <v>0</v>
      </c>
      <c r="E675" s="56">
        <f>B675-C675+D675</f>
        <v>0</v>
      </c>
      <c r="F675" s="56">
        <v>0</v>
      </c>
      <c r="G675" s="57">
        <f>E675-F675</f>
        <v>0</v>
      </c>
      <c r="J675" s="57"/>
      <c r="K675" s="68"/>
      <c r="L675" s="68"/>
      <c r="M675" s="68"/>
    </row>
    <row r="676" spans="1:14">
      <c r="A676" s="322" t="s">
        <v>439</v>
      </c>
      <c r="B676" s="59">
        <f t="shared" ref="B676:G676" si="97">SUM(B675:B675)</f>
        <v>871992</v>
      </c>
      <c r="C676" s="59">
        <f t="shared" si="97"/>
        <v>871992</v>
      </c>
      <c r="D676" s="59">
        <f t="shared" si="97"/>
        <v>0</v>
      </c>
      <c r="E676" s="59">
        <f t="shared" si="97"/>
        <v>0</v>
      </c>
      <c r="F676" s="59">
        <f t="shared" si="97"/>
        <v>0</v>
      </c>
      <c r="G676" s="59">
        <f t="shared" si="97"/>
        <v>0</v>
      </c>
      <c r="J676" s="59"/>
      <c r="K676" s="68"/>
      <c r="L676" s="68"/>
      <c r="M676" s="68"/>
    </row>
    <row r="677" spans="1:14">
      <c r="A677" s="322"/>
      <c r="B677" s="59"/>
      <c r="C677" s="59"/>
      <c r="D677" s="59"/>
      <c r="E677" s="59"/>
      <c r="F677" s="59"/>
      <c r="G677" s="59"/>
      <c r="J677" s="59"/>
      <c r="K677" s="68"/>
      <c r="L677" s="68"/>
      <c r="M677" s="68"/>
    </row>
    <row r="678" spans="1:14">
      <c r="A678" s="322" t="s">
        <v>666</v>
      </c>
      <c r="B678" s="59"/>
      <c r="C678" s="59"/>
      <c r="D678" s="59"/>
      <c r="E678" s="59"/>
      <c r="F678" s="59"/>
      <c r="G678" s="59"/>
      <c r="J678" s="59"/>
      <c r="K678" s="68"/>
      <c r="L678" s="68"/>
      <c r="M678" s="68"/>
    </row>
    <row r="679" spans="1:14">
      <c r="A679" s="323" t="s">
        <v>18</v>
      </c>
      <c r="B679" s="59">
        <v>0</v>
      </c>
      <c r="C679" s="59"/>
      <c r="D679" s="59">
        <v>45000</v>
      </c>
      <c r="E679" s="56">
        <f>B679-C679+D679</f>
        <v>45000</v>
      </c>
      <c r="F679" s="59"/>
      <c r="G679" s="57">
        <f>E679-F679</f>
        <v>45000</v>
      </c>
      <c r="J679" s="59"/>
      <c r="K679" s="68"/>
      <c r="L679" s="68"/>
      <c r="M679" s="68"/>
    </row>
    <row r="680" spans="1:14">
      <c r="A680" s="322" t="s">
        <v>439</v>
      </c>
      <c r="B680" s="59">
        <f t="shared" ref="B680:G680" si="98">SUM(B679)</f>
        <v>0</v>
      </c>
      <c r="C680" s="59">
        <f t="shared" si="98"/>
        <v>0</v>
      </c>
      <c r="D680" s="59">
        <f t="shared" si="98"/>
        <v>45000</v>
      </c>
      <c r="E680" s="59">
        <f t="shared" si="98"/>
        <v>45000</v>
      </c>
      <c r="F680" s="59">
        <f t="shared" si="98"/>
        <v>0</v>
      </c>
      <c r="G680" s="59">
        <f t="shared" si="98"/>
        <v>45000</v>
      </c>
      <c r="J680" s="59"/>
      <c r="K680" s="68"/>
      <c r="L680" s="68"/>
      <c r="M680" s="68"/>
    </row>
    <row r="681" spans="1:14">
      <c r="A681" s="321"/>
      <c r="B681" s="56"/>
      <c r="C681" s="58"/>
      <c r="D681" s="56"/>
      <c r="E681" s="56"/>
      <c r="F681" s="56"/>
      <c r="G681" s="57"/>
      <c r="J681" s="57"/>
      <c r="K681" s="68"/>
      <c r="L681" s="68"/>
      <c r="M681" s="68"/>
    </row>
    <row r="682" spans="1:14" ht="16.5" thickBot="1">
      <c r="A682" s="322" t="s">
        <v>294</v>
      </c>
      <c r="B682" s="62">
        <f t="shared" ref="B682:G682" si="99">+B364+B371+B380+B386+B392+B396+B400+B410+B415+B426+B431+B436+B446+B452+B457+B461+B470+B478+B484+B489+B497+B507+B514+B519+B531+B539+B544+B549+B559+B566+B574+B579+B590+B600+B609+B614+B623+B637+B646+B653+B657+B662+B667+B672+B676+B618+B680</f>
        <v>126757664</v>
      </c>
      <c r="C682" s="62">
        <f t="shared" si="99"/>
        <v>11149038</v>
      </c>
      <c r="D682" s="62">
        <f t="shared" si="99"/>
        <v>49331708</v>
      </c>
      <c r="E682" s="62">
        <f t="shared" si="99"/>
        <v>164940334</v>
      </c>
      <c r="F682" s="62">
        <f t="shared" si="99"/>
        <v>42594110</v>
      </c>
      <c r="G682" s="62">
        <f t="shared" si="99"/>
        <v>122346224</v>
      </c>
      <c r="J682" s="100"/>
      <c r="K682" s="68"/>
      <c r="L682" s="68"/>
      <c r="M682" s="68"/>
    </row>
    <row r="683" spans="1:14" ht="16.5" thickTop="1">
      <c r="A683" s="281"/>
      <c r="B683" s="282"/>
      <c r="C683" s="282"/>
      <c r="D683" s="282"/>
      <c r="E683" s="282"/>
      <c r="F683" s="282"/>
      <c r="G683" s="282"/>
      <c r="H683" s="282"/>
      <c r="I683" s="283"/>
      <c r="J683" s="283"/>
      <c r="K683" s="282"/>
      <c r="L683" s="282"/>
      <c r="M683" s="282"/>
    </row>
    <row r="684" spans="1:14">
      <c r="A684" s="281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284">
        <f>G682-[2]bs!E20</f>
        <v>-4411440</v>
      </c>
    </row>
    <row r="685" spans="1:14">
      <c r="A685" s="281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3"/>
    </row>
    <row r="686" spans="1:14">
      <c r="A686" s="187"/>
      <c r="B686" s="187"/>
      <c r="C686" s="199" t="s">
        <v>544</v>
      </c>
      <c r="D686" s="187"/>
      <c r="E686" s="187"/>
      <c r="F686" s="187"/>
      <c r="G686" s="187"/>
      <c r="H686" s="187"/>
      <c r="I686" s="187"/>
      <c r="J686" s="187"/>
      <c r="K686" s="187"/>
      <c r="L686" s="199"/>
      <c r="M686" s="44"/>
    </row>
    <row r="687" spans="1:14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</row>
    <row r="688" spans="1:14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</row>
    <row r="689" spans="1:13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</row>
    <row r="690" spans="1:13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</row>
    <row r="691" spans="1:13">
      <c r="A691" s="44"/>
      <c r="B691" s="349" t="s">
        <v>544</v>
      </c>
      <c r="C691" s="350"/>
      <c r="D691" s="350"/>
      <c r="E691" s="350"/>
      <c r="F691" s="350"/>
      <c r="G691" s="350"/>
      <c r="H691" s="350"/>
      <c r="I691" s="350"/>
      <c r="J691" s="350"/>
      <c r="K691" s="350"/>
      <c r="L691" s="351"/>
      <c r="M691" s="64" t="s">
        <v>544</v>
      </c>
    </row>
    <row r="692" spans="1:13">
      <c r="A692" s="348" t="s">
        <v>544</v>
      </c>
      <c r="B692" s="348"/>
      <c r="C692" s="348"/>
      <c r="D692" s="348"/>
      <c r="E692" s="348"/>
      <c r="F692" s="348"/>
      <c r="G692" s="348"/>
      <c r="H692" s="348"/>
      <c r="I692" s="348"/>
      <c r="J692" s="348"/>
      <c r="K692" s="348"/>
      <c r="L692" s="348"/>
      <c r="M692" s="348"/>
    </row>
    <row r="693" spans="1:13">
      <c r="A693" s="56"/>
      <c r="B693" s="63" t="s">
        <v>96</v>
      </c>
      <c r="C693" s="63"/>
      <c r="D693" s="63"/>
      <c r="E693" s="63"/>
      <c r="F693" s="63"/>
      <c r="G693" s="60" t="s">
        <v>919</v>
      </c>
      <c r="H693" s="63"/>
      <c r="I693" s="60" t="s">
        <v>544</v>
      </c>
      <c r="J693" s="59"/>
      <c r="K693" s="64"/>
      <c r="L693" s="64"/>
      <c r="M693" s="44"/>
    </row>
    <row r="694" spans="1:13">
      <c r="A694" s="59" t="s">
        <v>544</v>
      </c>
      <c r="B694" s="56"/>
      <c r="C694" s="56"/>
      <c r="D694" s="56"/>
      <c r="E694" s="56"/>
      <c r="F694" s="59" t="s">
        <v>544</v>
      </c>
      <c r="G694" s="60" t="s">
        <v>544</v>
      </c>
      <c r="H694" s="56"/>
      <c r="I694" s="59" t="s">
        <v>544</v>
      </c>
      <c r="J694" s="59"/>
    </row>
    <row r="695" spans="1:13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</row>
    <row r="696" spans="1:13">
      <c r="A696" s="61" t="s">
        <v>536</v>
      </c>
      <c r="B696" s="65" t="s">
        <v>419</v>
      </c>
      <c r="C696" s="65" t="s">
        <v>361</v>
      </c>
      <c r="D696" s="57" t="s">
        <v>420</v>
      </c>
      <c r="E696" s="65" t="s">
        <v>439</v>
      </c>
      <c r="F696" s="65" t="s">
        <v>421</v>
      </c>
      <c r="G696" s="65" t="s">
        <v>2</v>
      </c>
      <c r="J696" s="65"/>
    </row>
    <row r="697" spans="1:13">
      <c r="A697" s="61" t="s">
        <v>544</v>
      </c>
      <c r="B697" s="65" t="s">
        <v>3</v>
      </c>
      <c r="C697" s="65" t="s">
        <v>4</v>
      </c>
      <c r="D697" s="65" t="s">
        <v>5</v>
      </c>
      <c r="E697" s="57"/>
      <c r="F697" s="65" t="s">
        <v>6</v>
      </c>
      <c r="G697" s="65" t="s">
        <v>3</v>
      </c>
      <c r="J697" s="65"/>
    </row>
    <row r="698" spans="1:13">
      <c r="A698" s="57"/>
      <c r="B698" s="65" t="s">
        <v>94</v>
      </c>
      <c r="C698" s="65" t="s">
        <v>544</v>
      </c>
      <c r="D698" s="57"/>
      <c r="E698" s="57"/>
      <c r="F698" s="65"/>
      <c r="G698" s="65" t="s">
        <v>95</v>
      </c>
      <c r="J698" s="65"/>
    </row>
    <row r="699" spans="1:13" ht="17.25">
      <c r="A699" s="325" t="s">
        <v>114</v>
      </c>
      <c r="B699" s="202"/>
      <c r="C699" s="202"/>
      <c r="D699" s="202"/>
      <c r="E699" s="202"/>
      <c r="F699" s="202"/>
      <c r="G699" s="202"/>
      <c r="J699" s="202"/>
    </row>
    <row r="700" spans="1:13">
      <c r="A700" s="66" t="s">
        <v>596</v>
      </c>
      <c r="B700" s="202"/>
      <c r="C700" s="202"/>
      <c r="D700" s="202"/>
      <c r="E700" s="202"/>
      <c r="F700" s="202"/>
      <c r="G700" s="202"/>
      <c r="J700" s="202"/>
    </row>
    <row r="701" spans="1:13">
      <c r="A701" s="326" t="s">
        <v>164</v>
      </c>
      <c r="B701" s="56">
        <f t="shared" ref="B701:G701" si="100">B364</f>
        <v>94025</v>
      </c>
      <c r="C701" s="56">
        <f t="shared" si="100"/>
        <v>0</v>
      </c>
      <c r="D701" s="56">
        <f t="shared" si="100"/>
        <v>0</v>
      </c>
      <c r="E701" s="56">
        <f t="shared" si="100"/>
        <v>94025</v>
      </c>
      <c r="F701" s="56">
        <f t="shared" si="100"/>
        <v>0</v>
      </c>
      <c r="G701" s="56">
        <f t="shared" si="100"/>
        <v>94025</v>
      </c>
      <c r="J701" s="56"/>
    </row>
    <row r="702" spans="1:13">
      <c r="A702" s="327" t="s">
        <v>294</v>
      </c>
      <c r="B702" s="59">
        <f t="shared" ref="B702" si="101">SUM(B701)</f>
        <v>94025</v>
      </c>
      <c r="C702" s="59">
        <f>SUM(C701)</f>
        <v>0</v>
      </c>
      <c r="D702" s="59">
        <f>SUM(D701)</f>
        <v>0</v>
      </c>
      <c r="E702" s="59">
        <f>SUM(E701)</f>
        <v>94025</v>
      </c>
      <c r="F702" s="59">
        <f>SUM(F701)</f>
        <v>0</v>
      </c>
      <c r="G702" s="59">
        <f>SUM(G701)</f>
        <v>94025</v>
      </c>
      <c r="J702" s="59"/>
    </row>
    <row r="703" spans="1:13">
      <c r="A703" s="326"/>
      <c r="B703" s="202"/>
      <c r="C703" s="202"/>
      <c r="D703" s="202"/>
      <c r="E703" s="202"/>
      <c r="F703" s="202"/>
      <c r="G703" s="202"/>
      <c r="J703" s="202"/>
    </row>
    <row r="704" spans="1:13">
      <c r="A704" s="66" t="s">
        <v>595</v>
      </c>
      <c r="B704" s="202"/>
      <c r="C704" s="202"/>
      <c r="D704" s="202"/>
      <c r="E704" s="202"/>
      <c r="F704" s="202"/>
      <c r="G704" s="202"/>
      <c r="J704" s="202"/>
    </row>
    <row r="705" spans="1:10">
      <c r="A705" s="326" t="s">
        <v>165</v>
      </c>
      <c r="B705" s="56">
        <f t="shared" ref="B705:G705" si="102">B371</f>
        <v>3723700</v>
      </c>
      <c r="C705" s="56">
        <f t="shared" si="102"/>
        <v>200</v>
      </c>
      <c r="D705" s="56">
        <f t="shared" si="102"/>
        <v>647642</v>
      </c>
      <c r="E705" s="56">
        <f t="shared" si="102"/>
        <v>4371142</v>
      </c>
      <c r="F705" s="56">
        <f t="shared" si="102"/>
        <v>116839</v>
      </c>
      <c r="G705" s="56">
        <f t="shared" si="102"/>
        <v>4254303</v>
      </c>
      <c r="J705" s="56"/>
    </row>
    <row r="706" spans="1:10">
      <c r="A706" s="326" t="s">
        <v>166</v>
      </c>
      <c r="B706" s="202">
        <f t="shared" ref="B706:G706" si="103">B380</f>
        <v>23230391</v>
      </c>
      <c r="C706" s="202">
        <f t="shared" si="103"/>
        <v>121750</v>
      </c>
      <c r="D706" s="202">
        <f t="shared" si="103"/>
        <v>812461</v>
      </c>
      <c r="E706" s="202">
        <f t="shared" si="103"/>
        <v>23921102</v>
      </c>
      <c r="F706" s="202">
        <f t="shared" si="103"/>
        <v>345683</v>
      </c>
      <c r="G706" s="202">
        <f t="shared" si="103"/>
        <v>23575419</v>
      </c>
      <c r="J706" s="202"/>
    </row>
    <row r="707" spans="1:10">
      <c r="A707" s="326" t="s">
        <v>167</v>
      </c>
      <c r="B707" s="202">
        <f t="shared" ref="B707:G707" si="104">B386</f>
        <v>11329</v>
      </c>
      <c r="C707" s="202">
        <f t="shared" si="104"/>
        <v>0</v>
      </c>
      <c r="D707" s="202">
        <f t="shared" si="104"/>
        <v>4470</v>
      </c>
      <c r="E707" s="202">
        <f t="shared" si="104"/>
        <v>15799</v>
      </c>
      <c r="F707" s="202">
        <f t="shared" si="104"/>
        <v>11329</v>
      </c>
      <c r="G707" s="202">
        <f t="shared" si="104"/>
        <v>4470</v>
      </c>
      <c r="J707" s="202"/>
    </row>
    <row r="708" spans="1:10">
      <c r="A708" s="326" t="s">
        <v>168</v>
      </c>
      <c r="B708" s="202">
        <f t="shared" ref="B708:G708" si="105">B392</f>
        <v>638349</v>
      </c>
      <c r="C708" s="202">
        <f t="shared" si="105"/>
        <v>0</v>
      </c>
      <c r="D708" s="202">
        <f t="shared" si="105"/>
        <v>166157</v>
      </c>
      <c r="E708" s="202">
        <f t="shared" si="105"/>
        <v>804506</v>
      </c>
      <c r="F708" s="202">
        <f t="shared" si="105"/>
        <v>298229</v>
      </c>
      <c r="G708" s="202">
        <f t="shared" si="105"/>
        <v>506277</v>
      </c>
      <c r="J708" s="202"/>
    </row>
    <row r="709" spans="1:10">
      <c r="A709" s="326" t="s">
        <v>169</v>
      </c>
      <c r="B709" s="202">
        <f t="shared" ref="B709:G709" si="106">B396</f>
        <v>1357464</v>
      </c>
      <c r="C709" s="202">
        <f t="shared" si="106"/>
        <v>274953</v>
      </c>
      <c r="D709" s="202">
        <f t="shared" si="106"/>
        <v>0</v>
      </c>
      <c r="E709" s="202">
        <f t="shared" si="106"/>
        <v>1082511</v>
      </c>
      <c r="F709" s="202">
        <f t="shared" si="106"/>
        <v>0</v>
      </c>
      <c r="G709" s="202">
        <f t="shared" si="106"/>
        <v>1082511</v>
      </c>
      <c r="J709" s="202"/>
    </row>
    <row r="710" spans="1:10">
      <c r="A710" s="326" t="s">
        <v>170</v>
      </c>
      <c r="B710" s="202">
        <f t="shared" ref="B710:G710" si="107">B400</f>
        <v>600000</v>
      </c>
      <c r="C710" s="202">
        <f t="shared" si="107"/>
        <v>0</v>
      </c>
      <c r="D710" s="202">
        <f t="shared" si="107"/>
        <v>0</v>
      </c>
      <c r="E710" s="202">
        <f t="shared" si="107"/>
        <v>600000</v>
      </c>
      <c r="F710" s="202">
        <f t="shared" si="107"/>
        <v>0</v>
      </c>
      <c r="G710" s="202">
        <f t="shared" si="107"/>
        <v>600000</v>
      </c>
      <c r="J710" s="202"/>
    </row>
    <row r="711" spans="1:10">
      <c r="A711" s="326" t="s">
        <v>171</v>
      </c>
      <c r="B711" s="202">
        <v>5492492</v>
      </c>
      <c r="C711" s="202">
        <v>3037121</v>
      </c>
      <c r="D711" s="202">
        <v>2683087</v>
      </c>
      <c r="E711" s="202">
        <v>5138458</v>
      </c>
      <c r="F711" s="202">
        <v>1118335</v>
      </c>
      <c r="G711" s="202">
        <v>4020123</v>
      </c>
      <c r="J711" s="202"/>
    </row>
    <row r="712" spans="1:10">
      <c r="A712" s="326" t="s">
        <v>172</v>
      </c>
      <c r="B712" s="202">
        <v>33732650</v>
      </c>
      <c r="C712" s="202"/>
      <c r="D712" s="202">
        <v>1500877</v>
      </c>
      <c r="E712" s="202">
        <v>35233527</v>
      </c>
      <c r="F712" s="202">
        <v>1617307</v>
      </c>
      <c r="G712" s="202">
        <v>33616220</v>
      </c>
      <c r="J712" s="202"/>
    </row>
    <row r="713" spans="1:10">
      <c r="A713" s="326" t="s">
        <v>173</v>
      </c>
      <c r="B713" s="202">
        <f t="shared" ref="B713:G713" si="108">B426</f>
        <v>4482884</v>
      </c>
      <c r="C713" s="202">
        <f t="shared" si="108"/>
        <v>705975</v>
      </c>
      <c r="D713" s="202">
        <f t="shared" si="108"/>
        <v>1229593</v>
      </c>
      <c r="E713" s="202">
        <f t="shared" si="108"/>
        <v>5006502</v>
      </c>
      <c r="F713" s="202">
        <f t="shared" si="108"/>
        <v>2026909</v>
      </c>
      <c r="G713" s="202">
        <f t="shared" si="108"/>
        <v>2979593</v>
      </c>
      <c r="J713" s="202"/>
    </row>
    <row r="714" spans="1:10">
      <c r="A714" s="326" t="s">
        <v>174</v>
      </c>
      <c r="B714" s="202">
        <f t="shared" ref="B714:G714" si="109">B431</f>
        <v>17704</v>
      </c>
      <c r="C714" s="202">
        <f t="shared" si="109"/>
        <v>0</v>
      </c>
      <c r="D714" s="202">
        <f t="shared" si="109"/>
        <v>3400</v>
      </c>
      <c r="E714" s="202">
        <f t="shared" si="109"/>
        <v>21104</v>
      </c>
      <c r="F714" s="202">
        <f t="shared" si="109"/>
        <v>17704</v>
      </c>
      <c r="G714" s="202">
        <f t="shared" si="109"/>
        <v>3400</v>
      </c>
      <c r="J714" s="202"/>
    </row>
    <row r="715" spans="1:10">
      <c r="A715" s="326" t="s">
        <v>944</v>
      </c>
      <c r="B715" s="202">
        <v>393713</v>
      </c>
      <c r="C715" s="202"/>
      <c r="D715" s="202"/>
      <c r="E715" s="202">
        <v>393713</v>
      </c>
      <c r="F715" s="202">
        <v>228130</v>
      </c>
      <c r="G715" s="202">
        <v>165583</v>
      </c>
      <c r="J715" s="202"/>
    </row>
    <row r="716" spans="1:10">
      <c r="A716" s="60" t="s">
        <v>294</v>
      </c>
      <c r="B716" s="59">
        <f>SUM(B705:B715)</f>
        <v>73680676</v>
      </c>
      <c r="C716" s="59">
        <f t="shared" ref="C716:G716" si="110">SUM(C705:C715)</f>
        <v>4139999</v>
      </c>
      <c r="D716" s="59">
        <f t="shared" si="110"/>
        <v>7047687</v>
      </c>
      <c r="E716" s="59">
        <f t="shared" si="110"/>
        <v>76588364</v>
      </c>
      <c r="F716" s="59">
        <f t="shared" si="110"/>
        <v>5780465</v>
      </c>
      <c r="G716" s="59">
        <f t="shared" si="110"/>
        <v>70807899</v>
      </c>
      <c r="J716" s="59"/>
    </row>
    <row r="717" spans="1:10">
      <c r="A717" s="326"/>
      <c r="B717" s="202"/>
      <c r="C717" s="202"/>
      <c r="D717" s="202"/>
      <c r="E717" s="202"/>
      <c r="F717" s="202"/>
      <c r="G717" s="202"/>
      <c r="J717" s="202"/>
    </row>
    <row r="718" spans="1:10">
      <c r="A718" s="66" t="s">
        <v>175</v>
      </c>
      <c r="B718" s="202"/>
      <c r="C718" s="202"/>
      <c r="D718" s="202"/>
      <c r="E718" s="202"/>
      <c r="F718" s="202"/>
      <c r="G718" s="202"/>
      <c r="J718" s="202"/>
    </row>
    <row r="719" spans="1:10">
      <c r="A719" s="326" t="s">
        <v>176</v>
      </c>
      <c r="B719" s="202">
        <f t="shared" ref="B719:G719" si="111">B446</f>
        <v>14684789</v>
      </c>
      <c r="C719" s="202">
        <f t="shared" si="111"/>
        <v>0</v>
      </c>
      <c r="D719" s="202">
        <f t="shared" si="111"/>
        <v>14671571</v>
      </c>
      <c r="E719" s="202">
        <f t="shared" si="111"/>
        <v>29356360</v>
      </c>
      <c r="F719" s="202">
        <f t="shared" si="111"/>
        <v>14683219</v>
      </c>
      <c r="G719" s="202">
        <f t="shared" si="111"/>
        <v>14673141</v>
      </c>
      <c r="J719" s="202"/>
    </row>
    <row r="720" spans="1:10">
      <c r="A720" s="326" t="s">
        <v>177</v>
      </c>
      <c r="B720" s="202">
        <f t="shared" ref="B720:G720" si="112">B452</f>
        <v>1014126</v>
      </c>
      <c r="C720" s="202">
        <f t="shared" si="112"/>
        <v>0</v>
      </c>
      <c r="D720" s="202">
        <f t="shared" si="112"/>
        <v>116945</v>
      </c>
      <c r="E720" s="202">
        <f t="shared" si="112"/>
        <v>1131071</v>
      </c>
      <c r="F720" s="202">
        <f t="shared" si="112"/>
        <v>1014126</v>
      </c>
      <c r="G720" s="202">
        <f t="shared" si="112"/>
        <v>116945</v>
      </c>
      <c r="J720" s="202"/>
    </row>
    <row r="721" spans="1:10">
      <c r="A721" s="326" t="s">
        <v>178</v>
      </c>
      <c r="B721" s="202">
        <f t="shared" ref="B721:G721" si="113">B457</f>
        <v>569</v>
      </c>
      <c r="C721" s="202">
        <f t="shared" si="113"/>
        <v>0</v>
      </c>
      <c r="D721" s="202">
        <f t="shared" si="113"/>
        <v>569830</v>
      </c>
      <c r="E721" s="202">
        <f t="shared" si="113"/>
        <v>570399</v>
      </c>
      <c r="F721" s="202">
        <f t="shared" si="113"/>
        <v>569</v>
      </c>
      <c r="G721" s="202">
        <f t="shared" si="113"/>
        <v>569830</v>
      </c>
      <c r="J721" s="202"/>
    </row>
    <row r="722" spans="1:10">
      <c r="A722" s="326" t="s">
        <v>179</v>
      </c>
      <c r="B722" s="202">
        <f>B460</f>
        <v>86263</v>
      </c>
      <c r="C722" s="202"/>
      <c r="D722" s="202">
        <v>0</v>
      </c>
      <c r="E722" s="202">
        <f>E461</f>
        <v>86263</v>
      </c>
      <c r="F722" s="202">
        <f>F461</f>
        <v>86263</v>
      </c>
      <c r="G722" s="202">
        <f>G461</f>
        <v>0</v>
      </c>
      <c r="J722" s="202"/>
    </row>
    <row r="723" spans="1:10">
      <c r="A723" s="326" t="s">
        <v>180</v>
      </c>
      <c r="B723" s="202">
        <f t="shared" ref="B723:G723" si="114">B470</f>
        <v>1172396</v>
      </c>
      <c r="C723" s="202">
        <f t="shared" si="114"/>
        <v>0</v>
      </c>
      <c r="D723" s="202">
        <f t="shared" si="114"/>
        <v>450155</v>
      </c>
      <c r="E723" s="202">
        <f t="shared" si="114"/>
        <v>1622551</v>
      </c>
      <c r="F723" s="202">
        <f t="shared" si="114"/>
        <v>970646</v>
      </c>
      <c r="G723" s="202">
        <f t="shared" si="114"/>
        <v>651905</v>
      </c>
      <c r="J723" s="202"/>
    </row>
    <row r="724" spans="1:10">
      <c r="A724" s="326" t="s">
        <v>181</v>
      </c>
      <c r="B724" s="202">
        <f t="shared" ref="B724:G724" si="115">B478</f>
        <v>283038</v>
      </c>
      <c r="C724" s="202">
        <f t="shared" si="115"/>
        <v>0</v>
      </c>
      <c r="D724" s="202">
        <f t="shared" si="115"/>
        <v>233499</v>
      </c>
      <c r="E724" s="202">
        <f t="shared" si="115"/>
        <v>516537</v>
      </c>
      <c r="F724" s="202">
        <f t="shared" si="115"/>
        <v>271643</v>
      </c>
      <c r="G724" s="202">
        <f t="shared" si="115"/>
        <v>244894</v>
      </c>
      <c r="J724" s="202"/>
    </row>
    <row r="725" spans="1:10">
      <c r="A725" s="326" t="s">
        <v>182</v>
      </c>
      <c r="B725" s="202">
        <f t="shared" ref="B725:G725" si="116">B484</f>
        <v>23417</v>
      </c>
      <c r="C725" s="202">
        <f t="shared" si="116"/>
        <v>0</v>
      </c>
      <c r="D725" s="202">
        <f t="shared" si="116"/>
        <v>104455</v>
      </c>
      <c r="E725" s="202">
        <f t="shared" si="116"/>
        <v>127872</v>
      </c>
      <c r="F725" s="202">
        <f t="shared" si="116"/>
        <v>18917</v>
      </c>
      <c r="G725" s="202">
        <f t="shared" si="116"/>
        <v>108955</v>
      </c>
      <c r="J725" s="202"/>
    </row>
    <row r="726" spans="1:10">
      <c r="A726" s="326" t="s">
        <v>183</v>
      </c>
      <c r="B726" s="202">
        <f t="shared" ref="B726:G726" si="117">B489</f>
        <v>7000</v>
      </c>
      <c r="C726" s="202">
        <f t="shared" si="117"/>
        <v>0</v>
      </c>
      <c r="D726" s="202">
        <f t="shared" si="117"/>
        <v>85549</v>
      </c>
      <c r="E726" s="202">
        <f t="shared" si="117"/>
        <v>92549</v>
      </c>
      <c r="F726" s="202">
        <f t="shared" si="117"/>
        <v>0</v>
      </c>
      <c r="G726" s="202">
        <f t="shared" si="117"/>
        <v>92549</v>
      </c>
      <c r="J726" s="202"/>
    </row>
    <row r="727" spans="1:10">
      <c r="A727" s="326" t="s">
        <v>184</v>
      </c>
      <c r="B727" s="202">
        <f t="shared" ref="B727:G727" si="118">B497</f>
        <v>1461584</v>
      </c>
      <c r="C727" s="202">
        <f t="shared" si="118"/>
        <v>400</v>
      </c>
      <c r="D727" s="202">
        <f t="shared" si="118"/>
        <v>8999</v>
      </c>
      <c r="E727" s="202">
        <f t="shared" si="118"/>
        <v>1470183</v>
      </c>
      <c r="F727" s="202">
        <f t="shared" si="118"/>
        <v>88221</v>
      </c>
      <c r="G727" s="202">
        <f t="shared" si="118"/>
        <v>1381962</v>
      </c>
      <c r="J727" s="202"/>
    </row>
    <row r="728" spans="1:10">
      <c r="A728" s="326" t="s">
        <v>185</v>
      </c>
      <c r="B728" s="202">
        <f t="shared" ref="B728:G728" si="119">B507</f>
        <v>67840</v>
      </c>
      <c r="C728" s="202">
        <f t="shared" si="119"/>
        <v>512</v>
      </c>
      <c r="D728" s="202">
        <f t="shared" si="119"/>
        <v>77346</v>
      </c>
      <c r="E728" s="202">
        <f t="shared" si="119"/>
        <v>144674</v>
      </c>
      <c r="F728" s="202">
        <f t="shared" si="119"/>
        <v>26571</v>
      </c>
      <c r="G728" s="202">
        <f t="shared" si="119"/>
        <v>118103</v>
      </c>
      <c r="J728" s="202"/>
    </row>
    <row r="729" spans="1:10">
      <c r="A729" s="326" t="s">
        <v>186</v>
      </c>
      <c r="B729" s="202">
        <f t="shared" ref="B729:G729" si="120">B514</f>
        <v>456259</v>
      </c>
      <c r="C729" s="202">
        <f t="shared" si="120"/>
        <v>0</v>
      </c>
      <c r="D729" s="202">
        <f t="shared" si="120"/>
        <v>270819</v>
      </c>
      <c r="E729" s="202">
        <f t="shared" si="120"/>
        <v>727078</v>
      </c>
      <c r="F729" s="202">
        <f t="shared" si="120"/>
        <v>0</v>
      </c>
      <c r="G729" s="202">
        <f t="shared" si="120"/>
        <v>727078</v>
      </c>
      <c r="J729" s="202"/>
    </row>
    <row r="730" spans="1:10">
      <c r="A730" s="326" t="s">
        <v>187</v>
      </c>
      <c r="B730" s="202">
        <f t="shared" ref="B730:G730" si="121">B519</f>
        <v>16757</v>
      </c>
      <c r="C730" s="202">
        <f t="shared" si="121"/>
        <v>0</v>
      </c>
      <c r="D730" s="202">
        <f t="shared" si="121"/>
        <v>0</v>
      </c>
      <c r="E730" s="202">
        <f t="shared" si="121"/>
        <v>16757</v>
      </c>
      <c r="F730" s="202">
        <f t="shared" si="121"/>
        <v>14729</v>
      </c>
      <c r="G730" s="202">
        <f t="shared" si="121"/>
        <v>2028</v>
      </c>
      <c r="J730" s="202"/>
    </row>
    <row r="731" spans="1:10">
      <c r="A731" s="326" t="s">
        <v>188</v>
      </c>
      <c r="B731" s="202">
        <f t="shared" ref="B731:G731" si="122">B531</f>
        <v>606631</v>
      </c>
      <c r="C731" s="202">
        <f t="shared" si="122"/>
        <v>561</v>
      </c>
      <c r="D731" s="202">
        <f t="shared" si="122"/>
        <v>126510</v>
      </c>
      <c r="E731" s="202">
        <f t="shared" si="122"/>
        <v>732580</v>
      </c>
      <c r="F731" s="202">
        <f t="shared" si="122"/>
        <v>297554</v>
      </c>
      <c r="G731" s="202">
        <f t="shared" si="122"/>
        <v>435026</v>
      </c>
      <c r="J731" s="202"/>
    </row>
    <row r="732" spans="1:10">
      <c r="A732" s="326" t="s">
        <v>189</v>
      </c>
      <c r="B732" s="202">
        <f t="shared" ref="B732:G732" si="123">B539</f>
        <v>360882</v>
      </c>
      <c r="C732" s="202">
        <f t="shared" si="123"/>
        <v>0</v>
      </c>
      <c r="D732" s="202">
        <f t="shared" si="123"/>
        <v>35060</v>
      </c>
      <c r="E732" s="202">
        <f t="shared" si="123"/>
        <v>395942</v>
      </c>
      <c r="F732" s="202">
        <f t="shared" si="123"/>
        <v>337384</v>
      </c>
      <c r="G732" s="202">
        <f t="shared" si="123"/>
        <v>58558</v>
      </c>
      <c r="J732" s="202"/>
    </row>
    <row r="733" spans="1:10">
      <c r="A733" s="326" t="s">
        <v>190</v>
      </c>
      <c r="B733" s="202">
        <f t="shared" ref="B733:G733" si="124">B544</f>
        <v>26311</v>
      </c>
      <c r="C733" s="202">
        <f t="shared" si="124"/>
        <v>0</v>
      </c>
      <c r="D733" s="202">
        <f t="shared" si="124"/>
        <v>0</v>
      </c>
      <c r="E733" s="202">
        <f t="shared" si="124"/>
        <v>26311</v>
      </c>
      <c r="F733" s="202">
        <f t="shared" si="124"/>
        <v>26080</v>
      </c>
      <c r="G733" s="202">
        <f t="shared" si="124"/>
        <v>231</v>
      </c>
      <c r="J733" s="202"/>
    </row>
    <row r="734" spans="1:10">
      <c r="A734" s="326" t="s">
        <v>191</v>
      </c>
      <c r="B734" s="202">
        <f t="shared" ref="B734:G734" si="125">B549</f>
        <v>300429</v>
      </c>
      <c r="C734" s="202">
        <f t="shared" si="125"/>
        <v>0</v>
      </c>
      <c r="D734" s="202">
        <f t="shared" si="125"/>
        <v>3940</v>
      </c>
      <c r="E734" s="202">
        <f t="shared" si="125"/>
        <v>304369</v>
      </c>
      <c r="F734" s="202">
        <f t="shared" si="125"/>
        <v>32998</v>
      </c>
      <c r="G734" s="202">
        <f t="shared" si="125"/>
        <v>271371</v>
      </c>
      <c r="J734" s="202"/>
    </row>
    <row r="735" spans="1:10">
      <c r="A735" s="326" t="s">
        <v>192</v>
      </c>
      <c r="B735" s="202">
        <f t="shared" ref="B735:G735" si="126">B559</f>
        <v>323253</v>
      </c>
      <c r="C735" s="202">
        <f t="shared" si="126"/>
        <v>0</v>
      </c>
      <c r="D735" s="202">
        <f t="shared" si="126"/>
        <v>193869</v>
      </c>
      <c r="E735" s="202">
        <f t="shared" si="126"/>
        <v>517122</v>
      </c>
      <c r="F735" s="202">
        <f t="shared" si="126"/>
        <v>158917</v>
      </c>
      <c r="G735" s="202">
        <f t="shared" si="126"/>
        <v>358205</v>
      </c>
      <c r="J735" s="202"/>
    </row>
    <row r="736" spans="1:10">
      <c r="A736" s="326" t="s">
        <v>193</v>
      </c>
      <c r="B736" s="202">
        <f t="shared" ref="B736:G736" si="127">B566</f>
        <v>1430908</v>
      </c>
      <c r="C736" s="202">
        <f t="shared" si="127"/>
        <v>0</v>
      </c>
      <c r="D736" s="202">
        <f t="shared" si="127"/>
        <v>1235005</v>
      </c>
      <c r="E736" s="202">
        <f t="shared" si="127"/>
        <v>2665913</v>
      </c>
      <c r="F736" s="202">
        <f t="shared" si="127"/>
        <v>368547</v>
      </c>
      <c r="G736" s="202">
        <f t="shared" si="127"/>
        <v>2297366</v>
      </c>
      <c r="J736" s="202"/>
    </row>
    <row r="737" spans="1:10">
      <c r="A737" s="326" t="s">
        <v>194</v>
      </c>
      <c r="B737" s="202">
        <f t="shared" ref="B737:G737" si="128">B574</f>
        <v>1562856</v>
      </c>
      <c r="C737" s="202">
        <f t="shared" si="128"/>
        <v>0</v>
      </c>
      <c r="D737" s="202">
        <f t="shared" si="128"/>
        <v>834515</v>
      </c>
      <c r="E737" s="202">
        <f t="shared" si="128"/>
        <v>2397371</v>
      </c>
      <c r="F737" s="202">
        <f t="shared" si="128"/>
        <v>571514</v>
      </c>
      <c r="G737" s="202">
        <f t="shared" si="128"/>
        <v>1825857</v>
      </c>
      <c r="J737" s="202"/>
    </row>
    <row r="738" spans="1:10">
      <c r="A738" s="326" t="s">
        <v>195</v>
      </c>
      <c r="B738" s="202">
        <f t="shared" ref="B738:G738" si="129">B579</f>
        <v>112069</v>
      </c>
      <c r="C738" s="202">
        <f t="shared" si="129"/>
        <v>0</v>
      </c>
      <c r="D738" s="202">
        <f t="shared" si="129"/>
        <v>0</v>
      </c>
      <c r="E738" s="202">
        <f t="shared" si="129"/>
        <v>112069</v>
      </c>
      <c r="F738" s="202">
        <f t="shared" si="129"/>
        <v>17085</v>
      </c>
      <c r="G738" s="202">
        <f t="shared" si="129"/>
        <v>94984</v>
      </c>
      <c r="J738" s="202"/>
    </row>
    <row r="739" spans="1:10">
      <c r="A739" s="326" t="s">
        <v>196</v>
      </c>
      <c r="B739" s="202">
        <f t="shared" ref="B739:G739" si="130">B590</f>
        <v>355918</v>
      </c>
      <c r="C739" s="202">
        <f t="shared" si="130"/>
        <v>25274</v>
      </c>
      <c r="D739" s="202">
        <f t="shared" si="130"/>
        <v>420024</v>
      </c>
      <c r="E739" s="202">
        <f t="shared" si="130"/>
        <v>750668</v>
      </c>
      <c r="F739" s="202">
        <f t="shared" si="130"/>
        <v>159136</v>
      </c>
      <c r="G739" s="202">
        <f t="shared" si="130"/>
        <v>591532</v>
      </c>
      <c r="J739" s="202"/>
    </row>
    <row r="740" spans="1:10">
      <c r="A740" s="326" t="s">
        <v>197</v>
      </c>
      <c r="B740" s="202">
        <f t="shared" ref="B740:G740" si="131">B600</f>
        <v>380769</v>
      </c>
      <c r="C740" s="202">
        <f t="shared" si="131"/>
        <v>0</v>
      </c>
      <c r="D740" s="202">
        <f t="shared" si="131"/>
        <v>40682</v>
      </c>
      <c r="E740" s="202">
        <f t="shared" si="131"/>
        <v>421451</v>
      </c>
      <c r="F740" s="202">
        <f t="shared" si="131"/>
        <v>358339</v>
      </c>
      <c r="G740" s="202">
        <f t="shared" si="131"/>
        <v>63112</v>
      </c>
      <c r="J740" s="202"/>
    </row>
    <row r="741" spans="1:10">
      <c r="A741" s="326" t="s">
        <v>198</v>
      </c>
      <c r="B741" s="202">
        <f t="shared" ref="B741:G741" si="132">B609</f>
        <v>1463928</v>
      </c>
      <c r="C741" s="202">
        <f t="shared" si="132"/>
        <v>0</v>
      </c>
      <c r="D741" s="202">
        <f t="shared" si="132"/>
        <v>28538</v>
      </c>
      <c r="E741" s="202">
        <f t="shared" si="132"/>
        <v>1492466</v>
      </c>
      <c r="F741" s="202">
        <f t="shared" si="132"/>
        <v>649482</v>
      </c>
      <c r="G741" s="202">
        <f t="shared" si="132"/>
        <v>842984</v>
      </c>
      <c r="J741" s="202"/>
    </row>
    <row r="742" spans="1:10">
      <c r="A742" s="326" t="s">
        <v>667</v>
      </c>
      <c r="B742" s="202">
        <v>0</v>
      </c>
      <c r="C742" s="202"/>
      <c r="D742" s="202">
        <f>D680</f>
        <v>45000</v>
      </c>
      <c r="E742" s="202">
        <f>E680</f>
        <v>45000</v>
      </c>
      <c r="F742" s="202">
        <f>F680</f>
        <v>0</v>
      </c>
      <c r="G742" s="202">
        <f>G680</f>
        <v>45000</v>
      </c>
      <c r="J742" s="202"/>
    </row>
    <row r="743" spans="1:10">
      <c r="A743" s="60" t="s">
        <v>294</v>
      </c>
      <c r="B743" s="59">
        <f t="shared" ref="B743:G743" si="133">SUM(B719:B742)</f>
        <v>26197992</v>
      </c>
      <c r="C743" s="59">
        <f t="shared" si="133"/>
        <v>26747</v>
      </c>
      <c r="D743" s="59">
        <f t="shared" si="133"/>
        <v>19552311</v>
      </c>
      <c r="E743" s="59">
        <f t="shared" si="133"/>
        <v>45723556</v>
      </c>
      <c r="F743" s="59">
        <f t="shared" si="133"/>
        <v>20151940</v>
      </c>
      <c r="G743" s="59">
        <f t="shared" si="133"/>
        <v>25571616</v>
      </c>
      <c r="J743" s="59"/>
    </row>
    <row r="744" spans="1:10">
      <c r="A744" s="326"/>
      <c r="B744" s="202"/>
      <c r="C744" s="202"/>
      <c r="D744" s="202"/>
      <c r="E744" s="202"/>
      <c r="F744" s="202"/>
      <c r="G744" s="202"/>
      <c r="J744" s="202"/>
    </row>
    <row r="745" spans="1:10">
      <c r="A745" s="66" t="s">
        <v>199</v>
      </c>
      <c r="B745" s="202"/>
      <c r="C745" s="202"/>
      <c r="D745" s="202"/>
      <c r="E745" s="202"/>
      <c r="F745" s="202"/>
      <c r="G745" s="202"/>
      <c r="J745" s="202"/>
    </row>
    <row r="746" spans="1:10">
      <c r="A746" s="326" t="s">
        <v>200</v>
      </c>
      <c r="B746" s="202">
        <f t="shared" ref="B746:G746" si="134">B614</f>
        <v>84860</v>
      </c>
      <c r="C746" s="202">
        <f t="shared" si="134"/>
        <v>0</v>
      </c>
      <c r="D746" s="202">
        <f t="shared" si="134"/>
        <v>198056</v>
      </c>
      <c r="E746" s="202">
        <f t="shared" si="134"/>
        <v>282916</v>
      </c>
      <c r="F746" s="202">
        <f t="shared" si="134"/>
        <v>80892</v>
      </c>
      <c r="G746" s="202">
        <f t="shared" si="134"/>
        <v>202024</v>
      </c>
      <c r="J746" s="202"/>
    </row>
    <row r="747" spans="1:10">
      <c r="A747" s="326" t="s">
        <v>201</v>
      </c>
      <c r="B747" s="202">
        <f>B617</f>
        <v>3000</v>
      </c>
      <c r="C747" s="202">
        <v>0</v>
      </c>
      <c r="D747" s="202">
        <v>0</v>
      </c>
      <c r="E747" s="202">
        <f>E617</f>
        <v>3000</v>
      </c>
      <c r="F747" s="202">
        <f>F617</f>
        <v>3000</v>
      </c>
      <c r="G747" s="202">
        <f>G617</f>
        <v>0</v>
      </c>
      <c r="J747" s="202"/>
    </row>
    <row r="748" spans="1:10">
      <c r="A748" s="326" t="s">
        <v>598</v>
      </c>
      <c r="B748" s="202">
        <f t="shared" ref="B748:G748" si="135">B623</f>
        <v>70800</v>
      </c>
      <c r="C748" s="202">
        <f t="shared" si="135"/>
        <v>0</v>
      </c>
      <c r="D748" s="202">
        <f t="shared" si="135"/>
        <v>8424</v>
      </c>
      <c r="E748" s="202">
        <f t="shared" si="135"/>
        <v>79224</v>
      </c>
      <c r="F748" s="202">
        <f t="shared" si="135"/>
        <v>70800</v>
      </c>
      <c r="G748" s="202">
        <f t="shared" si="135"/>
        <v>8424</v>
      </c>
      <c r="J748" s="202"/>
    </row>
    <row r="749" spans="1:10">
      <c r="A749" s="60" t="s">
        <v>294</v>
      </c>
      <c r="B749" s="59">
        <f t="shared" ref="B749:G749" si="136">SUM(B746:B748)</f>
        <v>158660</v>
      </c>
      <c r="C749" s="59">
        <f t="shared" si="136"/>
        <v>0</v>
      </c>
      <c r="D749" s="59">
        <f t="shared" si="136"/>
        <v>206480</v>
      </c>
      <c r="E749" s="59">
        <f t="shared" si="136"/>
        <v>365140</v>
      </c>
      <c r="F749" s="59">
        <f t="shared" si="136"/>
        <v>154692</v>
      </c>
      <c r="G749" s="59">
        <f t="shared" si="136"/>
        <v>210448</v>
      </c>
      <c r="J749" s="59"/>
    </row>
    <row r="750" spans="1:10">
      <c r="A750" s="326"/>
      <c r="B750" s="202"/>
      <c r="C750" s="202"/>
      <c r="D750" s="202"/>
      <c r="E750" s="202"/>
      <c r="F750" s="202"/>
      <c r="G750" s="202"/>
      <c r="J750" s="202"/>
    </row>
    <row r="751" spans="1:10">
      <c r="A751" s="66" t="s">
        <v>355</v>
      </c>
      <c r="B751" s="202"/>
      <c r="C751" s="202"/>
      <c r="D751" s="202"/>
      <c r="E751" s="202"/>
      <c r="F751" s="202"/>
      <c r="G751" s="202"/>
      <c r="J751" s="202"/>
    </row>
    <row r="752" spans="1:10">
      <c r="A752" s="326" t="s">
        <v>202</v>
      </c>
      <c r="B752" s="202">
        <f t="shared" ref="B752:G752" si="137">B637</f>
        <v>16183850</v>
      </c>
      <c r="C752" s="202">
        <f t="shared" si="137"/>
        <v>3423376</v>
      </c>
      <c r="D752" s="202">
        <f t="shared" si="137"/>
        <v>15530944</v>
      </c>
      <c r="E752" s="202">
        <f t="shared" si="137"/>
        <v>28291418</v>
      </c>
      <c r="F752" s="202">
        <f t="shared" si="137"/>
        <v>10650078</v>
      </c>
      <c r="G752" s="202">
        <f t="shared" si="137"/>
        <v>17641340</v>
      </c>
      <c r="J752" s="202"/>
    </row>
    <row r="753" spans="1:10">
      <c r="A753" s="326" t="s">
        <v>203</v>
      </c>
      <c r="B753" s="202">
        <f t="shared" ref="B753:G753" si="138">B646</f>
        <v>5498777</v>
      </c>
      <c r="C753" s="202">
        <f t="shared" si="138"/>
        <v>580130</v>
      </c>
      <c r="D753" s="202">
        <f t="shared" si="138"/>
        <v>5162057</v>
      </c>
      <c r="E753" s="202">
        <f t="shared" si="138"/>
        <v>10080704</v>
      </c>
      <c r="F753" s="202">
        <f t="shared" si="138"/>
        <v>4068967</v>
      </c>
      <c r="G753" s="202">
        <f t="shared" si="138"/>
        <v>6011737</v>
      </c>
      <c r="J753" s="202"/>
    </row>
    <row r="754" spans="1:10">
      <c r="A754" s="326" t="s">
        <v>204</v>
      </c>
      <c r="B754" s="202">
        <f t="shared" ref="B754:G754" si="139">B653</f>
        <v>2275443</v>
      </c>
      <c r="C754" s="202">
        <f t="shared" si="139"/>
        <v>1775443</v>
      </c>
      <c r="D754" s="202">
        <f t="shared" si="139"/>
        <v>0</v>
      </c>
      <c r="E754" s="202">
        <f t="shared" si="139"/>
        <v>500000</v>
      </c>
      <c r="F754" s="202">
        <f t="shared" si="139"/>
        <v>500000</v>
      </c>
      <c r="G754" s="202">
        <f t="shared" si="139"/>
        <v>0</v>
      </c>
      <c r="J754" s="202"/>
    </row>
    <row r="755" spans="1:10">
      <c r="A755" s="60" t="s">
        <v>294</v>
      </c>
      <c r="B755" s="59">
        <f t="shared" ref="B755:G755" si="140">SUM(B752:B754)</f>
        <v>23958070</v>
      </c>
      <c r="C755" s="59">
        <f t="shared" si="140"/>
        <v>5778949</v>
      </c>
      <c r="D755" s="59">
        <f t="shared" si="140"/>
        <v>20693001</v>
      </c>
      <c r="E755" s="59">
        <f t="shared" si="140"/>
        <v>38872122</v>
      </c>
      <c r="F755" s="59">
        <f t="shared" si="140"/>
        <v>15219045</v>
      </c>
      <c r="G755" s="59">
        <f t="shared" si="140"/>
        <v>23653077</v>
      </c>
      <c r="J755" s="59"/>
    </row>
    <row r="756" spans="1:10">
      <c r="A756" s="326"/>
      <c r="B756" s="202"/>
      <c r="C756" s="202"/>
      <c r="D756" s="202"/>
      <c r="E756" s="202"/>
      <c r="F756" s="202"/>
      <c r="G756" s="202"/>
      <c r="J756" s="202"/>
    </row>
    <row r="757" spans="1:10">
      <c r="A757" s="66" t="s">
        <v>205</v>
      </c>
      <c r="B757" s="202"/>
      <c r="C757" s="202"/>
      <c r="D757" s="202"/>
      <c r="E757" s="202"/>
      <c r="F757" s="202"/>
      <c r="G757" s="202"/>
      <c r="J757" s="202"/>
    </row>
    <row r="758" spans="1:10">
      <c r="A758" s="326" t="s">
        <v>206</v>
      </c>
      <c r="B758" s="202">
        <f t="shared" ref="B758:G758" si="141">B657</f>
        <v>331351</v>
      </c>
      <c r="C758" s="202">
        <f t="shared" si="141"/>
        <v>331351</v>
      </c>
      <c r="D758" s="202">
        <f t="shared" si="141"/>
        <v>0</v>
      </c>
      <c r="E758" s="202">
        <f t="shared" si="141"/>
        <v>0</v>
      </c>
      <c r="F758" s="202">
        <f t="shared" si="141"/>
        <v>0</v>
      </c>
      <c r="G758" s="202">
        <f t="shared" si="141"/>
        <v>0</v>
      </c>
      <c r="J758" s="202"/>
    </row>
    <row r="759" spans="1:10">
      <c r="A759" s="326" t="s">
        <v>207</v>
      </c>
      <c r="B759" s="202">
        <f t="shared" ref="B759:G759" si="142">B676</f>
        <v>871992</v>
      </c>
      <c r="C759" s="202">
        <f t="shared" si="142"/>
        <v>871992</v>
      </c>
      <c r="D759" s="202">
        <f t="shared" si="142"/>
        <v>0</v>
      </c>
      <c r="E759" s="202">
        <f t="shared" si="142"/>
        <v>0</v>
      </c>
      <c r="F759" s="202">
        <f t="shared" si="142"/>
        <v>0</v>
      </c>
      <c r="G759" s="202">
        <f t="shared" si="142"/>
        <v>0</v>
      </c>
      <c r="J759" s="202"/>
    </row>
    <row r="760" spans="1:10">
      <c r="A760" s="60" t="s">
        <v>294</v>
      </c>
      <c r="B760" s="59">
        <f t="shared" ref="B760" si="143">SUM(B758:B759)</f>
        <v>1203343</v>
      </c>
      <c r="C760" s="59">
        <f>SUM(C758:C759)</f>
        <v>1203343</v>
      </c>
      <c r="D760" s="59">
        <f>SUM(D758:D759)</f>
        <v>0</v>
      </c>
      <c r="E760" s="59">
        <f>SUM(E758:E759)</f>
        <v>0</v>
      </c>
      <c r="F760" s="59">
        <f>SUM(F758:F759)</f>
        <v>0</v>
      </c>
      <c r="G760" s="59">
        <f>SUM(G758:G759)</f>
        <v>0</v>
      </c>
      <c r="J760" s="59"/>
    </row>
    <row r="761" spans="1:10">
      <c r="A761" s="326"/>
      <c r="B761" s="202"/>
      <c r="C761" s="202"/>
      <c r="D761" s="202"/>
      <c r="E761" s="202"/>
      <c r="F761" s="202"/>
      <c r="G761" s="202"/>
      <c r="J761" s="202"/>
    </row>
    <row r="762" spans="1:10">
      <c r="A762" s="66" t="s">
        <v>436</v>
      </c>
      <c r="B762" s="202"/>
      <c r="C762" s="202"/>
      <c r="D762" s="202"/>
      <c r="E762" s="202"/>
      <c r="F762" s="202"/>
      <c r="G762" s="202"/>
      <c r="J762" s="202"/>
    </row>
    <row r="763" spans="1:10">
      <c r="A763" s="326" t="s">
        <v>208</v>
      </c>
      <c r="B763" s="202">
        <f t="shared" ref="B763:G763" si="144">B662</f>
        <v>953820</v>
      </c>
      <c r="C763" s="202">
        <f t="shared" si="144"/>
        <v>0</v>
      </c>
      <c r="D763" s="202">
        <f t="shared" si="144"/>
        <v>177913</v>
      </c>
      <c r="E763" s="202">
        <f t="shared" si="144"/>
        <v>1131733</v>
      </c>
      <c r="F763" s="202">
        <f t="shared" si="144"/>
        <v>776890</v>
      </c>
      <c r="G763" s="202">
        <f t="shared" si="144"/>
        <v>354843</v>
      </c>
      <c r="J763" s="202"/>
    </row>
    <row r="764" spans="1:10">
      <c r="A764" s="326" t="s">
        <v>209</v>
      </c>
      <c r="B764" s="202">
        <f t="shared" ref="B764:G764" si="145">B667</f>
        <v>6029</v>
      </c>
      <c r="C764" s="202">
        <f t="shared" si="145"/>
        <v>0</v>
      </c>
      <c r="D764" s="202">
        <f t="shared" si="145"/>
        <v>0</v>
      </c>
      <c r="E764" s="202">
        <f t="shared" si="145"/>
        <v>6029</v>
      </c>
      <c r="F764" s="202">
        <f t="shared" si="145"/>
        <v>6029</v>
      </c>
      <c r="G764" s="202">
        <f t="shared" si="145"/>
        <v>0</v>
      </c>
      <c r="J764" s="202"/>
    </row>
    <row r="765" spans="1:10">
      <c r="A765" s="326" t="s">
        <v>210</v>
      </c>
      <c r="B765" s="202">
        <f t="shared" ref="B765:G765" si="146">B672</f>
        <v>505049</v>
      </c>
      <c r="C765" s="202">
        <f t="shared" si="146"/>
        <v>0</v>
      </c>
      <c r="D765" s="202">
        <f t="shared" si="146"/>
        <v>1654316</v>
      </c>
      <c r="E765" s="202">
        <f t="shared" si="146"/>
        <v>2159365</v>
      </c>
      <c r="F765" s="202">
        <f t="shared" si="146"/>
        <v>505049</v>
      </c>
      <c r="G765" s="202">
        <f t="shared" si="146"/>
        <v>1654316</v>
      </c>
      <c r="J765" s="202"/>
    </row>
    <row r="766" spans="1:10">
      <c r="A766" s="60" t="s">
        <v>294</v>
      </c>
      <c r="B766" s="59">
        <f t="shared" ref="B766:G766" si="147">SUM(B763:B765)</f>
        <v>1464898</v>
      </c>
      <c r="C766" s="59">
        <f t="shared" si="147"/>
        <v>0</v>
      </c>
      <c r="D766" s="59">
        <f t="shared" si="147"/>
        <v>1832229</v>
      </c>
      <c r="E766" s="59">
        <f t="shared" si="147"/>
        <v>3297127</v>
      </c>
      <c r="F766" s="59">
        <f t="shared" si="147"/>
        <v>1287968</v>
      </c>
      <c r="G766" s="59">
        <f t="shared" si="147"/>
        <v>2009159</v>
      </c>
      <c r="J766" s="59"/>
    </row>
    <row r="767" spans="1:10">
      <c r="A767" s="326"/>
      <c r="B767" s="202"/>
      <c r="C767" s="202"/>
      <c r="D767" s="202"/>
      <c r="E767" s="202"/>
      <c r="F767" s="202"/>
      <c r="G767" s="202"/>
      <c r="J767" s="202"/>
    </row>
    <row r="768" spans="1:10" ht="16.5" thickBot="1">
      <c r="A768" s="60" t="s">
        <v>211</v>
      </c>
      <c r="B768" s="62">
        <f t="shared" ref="B768:G768" si="148">+B702+B716+B743+B749+B755+B760+B766</f>
        <v>126757664</v>
      </c>
      <c r="C768" s="62">
        <f t="shared" si="148"/>
        <v>11149038</v>
      </c>
      <c r="D768" s="62">
        <f t="shared" si="148"/>
        <v>49331708</v>
      </c>
      <c r="E768" s="62">
        <f t="shared" si="148"/>
        <v>164940334</v>
      </c>
      <c r="F768" s="62">
        <f t="shared" si="148"/>
        <v>42594110</v>
      </c>
      <c r="G768" s="62">
        <f t="shared" si="148"/>
        <v>122346224</v>
      </c>
      <c r="J768" s="100"/>
    </row>
    <row r="769" spans="1:10" ht="16.5" thickTop="1">
      <c r="B769" s="280"/>
      <c r="C769" s="280"/>
      <c r="D769" s="280"/>
      <c r="E769" s="280"/>
      <c r="F769" s="280"/>
      <c r="G769" s="280"/>
      <c r="H769" s="280"/>
      <c r="I769" s="280"/>
      <c r="J769" s="280"/>
    </row>
    <row r="771" spans="1:10">
      <c r="A771" s="63" t="s">
        <v>541</v>
      </c>
      <c r="B771" s="69"/>
      <c r="C771" s="67" t="s">
        <v>920</v>
      </c>
    </row>
    <row r="772" spans="1:10">
      <c r="A772" s="67"/>
      <c r="B772" s="68"/>
      <c r="C772" s="68"/>
    </row>
    <row r="773" spans="1:10">
      <c r="A773" s="67" t="s">
        <v>536</v>
      </c>
      <c r="B773" s="261" t="s">
        <v>542</v>
      </c>
      <c r="C773" s="261" t="s">
        <v>543</v>
      </c>
    </row>
    <row r="774" spans="1:10">
      <c r="A774" s="68"/>
      <c r="B774" s="261" t="s">
        <v>83</v>
      </c>
      <c r="C774" s="261" t="s">
        <v>537</v>
      </c>
    </row>
    <row r="775" spans="1:10">
      <c r="A775" s="287" t="s">
        <v>48</v>
      </c>
      <c r="B775" s="202" t="s">
        <v>544</v>
      </c>
      <c r="C775" s="202"/>
    </row>
    <row r="776" spans="1:10">
      <c r="A776" s="202"/>
      <c r="B776" s="202"/>
      <c r="C776" s="202"/>
    </row>
    <row r="777" spans="1:10">
      <c r="A777" s="287" t="s">
        <v>98</v>
      </c>
      <c r="B777" s="202"/>
      <c r="C777" s="202"/>
    </row>
    <row r="778" spans="1:10">
      <c r="A778" s="202" t="s">
        <v>49</v>
      </c>
      <c r="B778" s="68">
        <v>144565.13</v>
      </c>
      <c r="C778" s="68">
        <v>125729.13</v>
      </c>
    </row>
    <row r="779" spans="1:10">
      <c r="A779" s="202" t="s">
        <v>278</v>
      </c>
      <c r="B779" s="68">
        <f>1108020.12+167335.04-10482.53-3053.9</f>
        <v>1261818.7300000002</v>
      </c>
      <c r="C779" s="68">
        <v>875662.63</v>
      </c>
    </row>
    <row r="780" spans="1:10">
      <c r="A780" s="202" t="s">
        <v>50</v>
      </c>
      <c r="B780" s="68">
        <v>169032.7</v>
      </c>
      <c r="C780" s="68">
        <v>2385403.5</v>
      </c>
    </row>
    <row r="781" spans="1:10">
      <c r="A781" s="239"/>
      <c r="B781" s="239">
        <f>SUM(B778:B780)</f>
        <v>1575416.5600000003</v>
      </c>
      <c r="C781" s="239">
        <f>SUM(C778:C780)</f>
        <v>3386795.26</v>
      </c>
    </row>
    <row r="782" spans="1:10">
      <c r="A782" s="287" t="s">
        <v>51</v>
      </c>
      <c r="B782" s="68"/>
      <c r="C782" s="202" t="s">
        <v>544</v>
      </c>
    </row>
    <row r="783" spans="1:10">
      <c r="A783" s="202" t="s">
        <v>49</v>
      </c>
      <c r="B783" s="68">
        <v>37534507.200000003</v>
      </c>
      <c r="C783" s="68">
        <v>63153463.200000003</v>
      </c>
    </row>
    <row r="784" spans="1:10">
      <c r="A784" s="202" t="s">
        <v>278</v>
      </c>
      <c r="B784" s="68">
        <f>429073294+139584487+62432737+8557381.14+18000000+163347004+153700490+5000000-2470959-24725762.04</f>
        <v>952498672.10000002</v>
      </c>
      <c r="C784" s="68">
        <v>802948162.20000005</v>
      </c>
    </row>
    <row r="785" spans="1:3">
      <c r="A785" s="202" t="s">
        <v>50</v>
      </c>
      <c r="B785" s="68">
        <v>6775425</v>
      </c>
      <c r="C785" s="68">
        <v>5790425</v>
      </c>
    </row>
    <row r="786" spans="1:3">
      <c r="A786" s="239"/>
      <c r="B786" s="239">
        <f>SUM(B783:B785)</f>
        <v>996808604.30000007</v>
      </c>
      <c r="C786" s="239">
        <f>SUM(C783:C785)</f>
        <v>871892050.4000001</v>
      </c>
    </row>
    <row r="787" spans="1:3">
      <c r="A787" s="287" t="s">
        <v>52</v>
      </c>
      <c r="B787" s="239"/>
      <c r="C787" s="239"/>
    </row>
    <row r="788" spans="1:3">
      <c r="A788" s="202" t="s">
        <v>50</v>
      </c>
      <c r="B788" s="202">
        <v>616944</v>
      </c>
      <c r="C788" s="202">
        <v>506301</v>
      </c>
    </row>
    <row r="789" spans="1:3">
      <c r="A789" s="202" t="s">
        <v>49</v>
      </c>
      <c r="B789" s="202">
        <v>8948447</v>
      </c>
      <c r="C789" s="202">
        <v>6379930.96</v>
      </c>
    </row>
    <row r="790" spans="1:3">
      <c r="A790" s="202" t="s">
        <v>278</v>
      </c>
      <c r="B790" s="202">
        <f>40857311-19937-162978</f>
        <v>40674396</v>
      </c>
      <c r="C790" s="202">
        <v>35523009</v>
      </c>
    </row>
    <row r="791" spans="1:3">
      <c r="A791" s="239"/>
      <c r="B791" s="239">
        <f>SUM(B788:B790)</f>
        <v>50239787</v>
      </c>
      <c r="C791" s="239">
        <f>SUM(C788:C790)</f>
        <v>42409240.960000001</v>
      </c>
    </row>
    <row r="792" spans="1:3">
      <c r="A792" s="287" t="s">
        <v>598</v>
      </c>
      <c r="B792" s="68"/>
      <c r="C792" s="202"/>
    </row>
    <row r="793" spans="1:3">
      <c r="A793" s="287"/>
      <c r="B793" s="68"/>
      <c r="C793" s="202"/>
    </row>
    <row r="794" spans="1:3">
      <c r="A794" s="202" t="s">
        <v>49</v>
      </c>
      <c r="B794" s="68">
        <v>2016921</v>
      </c>
      <c r="C794" s="68">
        <v>1427260</v>
      </c>
    </row>
    <row r="795" spans="1:3">
      <c r="A795" s="202" t="s">
        <v>22</v>
      </c>
      <c r="B795" s="68">
        <v>7358826</v>
      </c>
      <c r="C795" s="202"/>
    </row>
    <row r="796" spans="1:3">
      <c r="A796" s="202"/>
      <c r="B796" s="68">
        <f>+B794+B795</f>
        <v>9375747</v>
      </c>
      <c r="C796" s="68">
        <f>+C794+C795</f>
        <v>1427260</v>
      </c>
    </row>
    <row r="797" spans="1:3">
      <c r="A797" s="239" t="s">
        <v>294</v>
      </c>
      <c r="B797" s="239">
        <f>SUM(B781+B786+B796+B791)</f>
        <v>1057999554.86</v>
      </c>
      <c r="C797" s="239">
        <f>SUM(C781+C786+C796+C791)</f>
        <v>919115346.62000012</v>
      </c>
    </row>
    <row r="798" spans="1:3">
      <c r="A798" s="202"/>
      <c r="B798" s="68"/>
      <c r="C798" s="202"/>
    </row>
    <row r="799" spans="1:3">
      <c r="A799" s="287" t="s">
        <v>53</v>
      </c>
      <c r="B799" s="68"/>
      <c r="C799" s="202" t="s">
        <v>544</v>
      </c>
    </row>
    <row r="800" spans="1:3">
      <c r="A800" s="314" t="s">
        <v>98</v>
      </c>
      <c r="B800" s="68">
        <v>10482.530000000001</v>
      </c>
      <c r="C800" s="68">
        <v>364.53</v>
      </c>
    </row>
    <row r="801" spans="1:3">
      <c r="A801" s="314" t="s">
        <v>271</v>
      </c>
      <c r="B801" s="68">
        <v>2470959</v>
      </c>
      <c r="C801" s="68">
        <v>2224460</v>
      </c>
    </row>
    <row r="802" spans="1:3">
      <c r="A802" s="314" t="s">
        <v>52</v>
      </c>
      <c r="B802" s="68">
        <v>19937</v>
      </c>
      <c r="C802" s="68">
        <v>139319</v>
      </c>
    </row>
    <row r="803" spans="1:3">
      <c r="A803" s="239" t="s">
        <v>294</v>
      </c>
      <c r="B803" s="239">
        <f>SUM(B800:B802)</f>
        <v>2501378.5299999998</v>
      </c>
      <c r="C803" s="239">
        <f>SUM(C800:C802)</f>
        <v>2364143.5299999998</v>
      </c>
    </row>
    <row r="804" spans="1:3">
      <c r="A804" s="202"/>
      <c r="B804" s="68"/>
      <c r="C804" s="202"/>
    </row>
    <row r="805" spans="1:3">
      <c r="A805" s="287" t="s">
        <v>54</v>
      </c>
      <c r="B805" s="68"/>
      <c r="C805" s="202" t="s">
        <v>544</v>
      </c>
    </row>
    <row r="806" spans="1:3">
      <c r="A806" s="314" t="s">
        <v>98</v>
      </c>
      <c r="B806" s="68">
        <v>3053.9</v>
      </c>
      <c r="C806" s="68">
        <v>352.9</v>
      </c>
    </row>
    <row r="807" spans="1:3">
      <c r="A807" s="314" t="s">
        <v>271</v>
      </c>
      <c r="B807" s="68">
        <v>24725762.039999999</v>
      </c>
      <c r="C807" s="68">
        <v>22822391.140000001</v>
      </c>
    </row>
    <row r="808" spans="1:3">
      <c r="A808" s="314" t="s">
        <v>52</v>
      </c>
      <c r="B808" s="68">
        <v>162978</v>
      </c>
      <c r="C808" s="202">
        <v>421366</v>
      </c>
    </row>
    <row r="809" spans="1:3">
      <c r="A809" s="239" t="s">
        <v>294</v>
      </c>
      <c r="B809" s="239">
        <f>SUM(B806:B808)</f>
        <v>24891793.939999998</v>
      </c>
      <c r="C809" s="239">
        <f>SUM(C806:C808)</f>
        <v>23244110.039999999</v>
      </c>
    </row>
    <row r="810" spans="1:3">
      <c r="A810" s="202"/>
      <c r="B810" s="68"/>
      <c r="C810" s="202"/>
    </row>
    <row r="811" spans="1:3" ht="16.5" thickBot="1">
      <c r="A811" s="239" t="s">
        <v>55</v>
      </c>
      <c r="B811" s="204">
        <f>+B797+B803+B809</f>
        <v>1085392727.3299999</v>
      </c>
      <c r="C811" s="204">
        <f>+C797+C803+C809</f>
        <v>944723600.19000006</v>
      </c>
    </row>
    <row r="812" spans="1:3" ht="16.5" thickTop="1">
      <c r="A812" s="187"/>
      <c r="B812" s="288"/>
      <c r="C812" s="288"/>
    </row>
    <row r="813" spans="1:3">
      <c r="A813" s="187"/>
      <c r="B813" s="200"/>
      <c r="C813" s="200"/>
    </row>
    <row r="814" spans="1:3">
      <c r="A814" s="187"/>
      <c r="B814" s="200"/>
      <c r="C814" s="200"/>
    </row>
    <row r="815" spans="1:3">
      <c r="A815" s="187"/>
      <c r="B815" s="200"/>
      <c r="C815" s="200"/>
    </row>
    <row r="816" spans="1:3">
      <c r="A816" s="187"/>
      <c r="B816" s="200"/>
      <c r="C816" s="200"/>
    </row>
    <row r="817" spans="1:26">
      <c r="A817" s="187"/>
      <c r="B817" s="200"/>
      <c r="C817" s="200"/>
    </row>
    <row r="818" spans="1:26">
      <c r="A818" s="63" t="s">
        <v>56</v>
      </c>
      <c r="B818" s="69"/>
      <c r="C818" s="67" t="s">
        <v>921</v>
      </c>
    </row>
    <row r="819" spans="1:26">
      <c r="A819" s="67"/>
      <c r="B819" s="68"/>
      <c r="C819" s="68"/>
    </row>
    <row r="820" spans="1:26">
      <c r="A820" s="67" t="s">
        <v>536</v>
      </c>
      <c r="B820" s="261" t="s">
        <v>542</v>
      </c>
      <c r="C820" s="261" t="s">
        <v>543</v>
      </c>
    </row>
    <row r="821" spans="1:26">
      <c r="A821" s="67"/>
      <c r="B821" s="261" t="s">
        <v>83</v>
      </c>
      <c r="C821" s="261" t="s">
        <v>537</v>
      </c>
    </row>
    <row r="822" spans="1:26">
      <c r="A822" s="68"/>
      <c r="B822" s="242"/>
      <c r="C822" s="242"/>
    </row>
    <row r="823" spans="1:26">
      <c r="A823" s="202" t="s">
        <v>139</v>
      </c>
      <c r="B823" s="239">
        <f>+C825</f>
        <v>503980</v>
      </c>
      <c r="C823" s="202">
        <v>503980</v>
      </c>
    </row>
    <row r="824" spans="1:26">
      <c r="A824" s="202"/>
      <c r="B824" s="202"/>
      <c r="C824" s="202"/>
    </row>
    <row r="825" spans="1:26">
      <c r="A825" s="239" t="s">
        <v>151</v>
      </c>
      <c r="B825" s="289">
        <f>SUM(B823:B824)</f>
        <v>503980</v>
      </c>
      <c r="C825" s="289">
        <f>SUM(C823:C824)</f>
        <v>503980</v>
      </c>
    </row>
    <row r="830" spans="1:26">
      <c r="A830" s="13" t="s">
        <v>544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290"/>
      <c r="P830" s="35"/>
      <c r="Q830" s="35"/>
      <c r="R830" s="35"/>
      <c r="S830" s="35"/>
      <c r="T830" s="35"/>
      <c r="U830" s="13" t="s">
        <v>922</v>
      </c>
      <c r="V830" s="291"/>
      <c r="W830" s="291"/>
      <c r="X830" s="291"/>
      <c r="Y830" s="291"/>
      <c r="Z830" s="291"/>
    </row>
    <row r="831" spans="1:26">
      <c r="A831" s="13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290"/>
      <c r="P831" s="35"/>
      <c r="Q831" s="35"/>
      <c r="R831" s="35"/>
      <c r="S831" s="35"/>
      <c r="T831" s="35"/>
      <c r="U831" s="35"/>
      <c r="V831" s="291"/>
      <c r="W831" s="291"/>
      <c r="X831" s="291"/>
      <c r="Y831" s="291"/>
      <c r="Z831" s="291"/>
    </row>
    <row r="832" spans="1:26">
      <c r="A832" s="329" t="s">
        <v>57</v>
      </c>
      <c r="B832" s="292" t="s">
        <v>437</v>
      </c>
      <c r="C832" s="292" t="s">
        <v>561</v>
      </c>
      <c r="D832" s="292" t="s">
        <v>560</v>
      </c>
      <c r="E832" s="292"/>
      <c r="F832" s="292"/>
      <c r="G832" s="292" t="s">
        <v>407</v>
      </c>
      <c r="H832" s="292"/>
      <c r="I832" s="292" t="s">
        <v>58</v>
      </c>
      <c r="J832" s="292"/>
      <c r="K832" s="292" t="s">
        <v>59</v>
      </c>
      <c r="L832" s="292" t="s">
        <v>60</v>
      </c>
      <c r="M832" s="292" t="s">
        <v>20</v>
      </c>
      <c r="N832" s="292" t="s">
        <v>371</v>
      </c>
      <c r="O832" s="292" t="s">
        <v>636</v>
      </c>
      <c r="P832" s="292" t="s">
        <v>61</v>
      </c>
      <c r="Q832" s="292" t="s">
        <v>22</v>
      </c>
      <c r="R832" s="293" t="s">
        <v>62</v>
      </c>
      <c r="S832" s="293"/>
      <c r="T832" s="328" t="s">
        <v>251</v>
      </c>
      <c r="U832" s="69" t="s">
        <v>252</v>
      </c>
    </row>
    <row r="833" spans="1:23">
      <c r="A833" s="12"/>
      <c r="B833" s="35"/>
      <c r="C833" s="35"/>
      <c r="D833" s="35"/>
      <c r="E833" s="35"/>
      <c r="F833" s="35"/>
      <c r="G833" s="35"/>
      <c r="H833" s="35"/>
      <c r="I833" s="35">
        <v>0</v>
      </c>
      <c r="J833" s="35"/>
      <c r="K833" s="35"/>
      <c r="L833" s="290"/>
      <c r="M833" s="35"/>
      <c r="N833" s="294"/>
      <c r="O833" s="35"/>
      <c r="P833" s="35"/>
      <c r="Q833" s="35"/>
      <c r="R833" s="35"/>
      <c r="S833" s="35"/>
      <c r="T833" s="295" t="s">
        <v>100</v>
      </c>
      <c r="U833" s="295" t="s">
        <v>70</v>
      </c>
    </row>
    <row r="834" spans="1:23">
      <c r="A834" s="12" t="s">
        <v>99</v>
      </c>
      <c r="B834" s="35">
        <v>-8484245.7799999863</v>
      </c>
      <c r="C834" s="35">
        <v>8473742</v>
      </c>
      <c r="D834" s="35">
        <v>9685441.7400000002</v>
      </c>
      <c r="E834" s="35"/>
      <c r="F834" s="35"/>
      <c r="G834" s="35">
        <v>70950732.25</v>
      </c>
      <c r="H834" s="35"/>
      <c r="I834" s="35">
        <v>-793246527.47000003</v>
      </c>
      <c r="J834" s="35"/>
      <c r="K834" s="35">
        <v>9514487</v>
      </c>
      <c r="L834" s="290">
        <v>27283574.590000033</v>
      </c>
      <c r="M834" s="35">
        <v>8062862.6399999857</v>
      </c>
      <c r="N834" s="35">
        <v>-5370446.650000006</v>
      </c>
      <c r="O834" s="35">
        <v>-12359326.640000045</v>
      </c>
      <c r="P834" s="35">
        <v>46131004.969999999</v>
      </c>
      <c r="Q834" s="35">
        <v>6928690.9900000095</v>
      </c>
      <c r="R834" s="35">
        <v>20079788.530000001</v>
      </c>
      <c r="S834" s="35"/>
      <c r="T834" s="35">
        <f t="shared" ref="T834:T852" si="149">SUM(B834:R834)</f>
        <v>-612350221.82999992</v>
      </c>
      <c r="U834" s="68">
        <v>75551444.11999999</v>
      </c>
      <c r="V834" s="225" t="s">
        <v>544</v>
      </c>
      <c r="W834" s="225"/>
    </row>
    <row r="835" spans="1:23">
      <c r="A835" s="12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290"/>
      <c r="M835" s="35"/>
      <c r="N835" s="35"/>
      <c r="O835" s="35"/>
      <c r="P835" s="35"/>
      <c r="Q835" s="35"/>
      <c r="R835" s="35"/>
      <c r="S835" s="35"/>
      <c r="T835" s="35" t="s">
        <v>544</v>
      </c>
      <c r="U835" s="68"/>
      <c r="V835" s="225"/>
      <c r="W835" s="225"/>
    </row>
    <row r="836" spans="1:23">
      <c r="A836" s="12" t="s">
        <v>64</v>
      </c>
      <c r="B836" s="35"/>
      <c r="C836" s="35"/>
      <c r="D836" s="35"/>
      <c r="E836" s="35"/>
      <c r="F836" s="35"/>
      <c r="G836" s="35"/>
      <c r="H836" s="35"/>
      <c r="I836" s="35">
        <v>3326435000</v>
      </c>
      <c r="J836" s="35"/>
      <c r="K836" s="35"/>
      <c r="L836" s="290"/>
      <c r="M836" s="35"/>
      <c r="N836" s="35"/>
      <c r="O836" s="35"/>
      <c r="P836" s="35"/>
      <c r="Q836" s="35"/>
      <c r="R836" s="35"/>
      <c r="S836" s="35"/>
      <c r="T836" s="35">
        <v>0</v>
      </c>
      <c r="U836" s="68">
        <v>1380000000</v>
      </c>
      <c r="V836" s="225" t="s">
        <v>544</v>
      </c>
      <c r="W836" s="225"/>
    </row>
    <row r="837" spans="1:23">
      <c r="A837" s="12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290"/>
      <c r="M837" s="35"/>
      <c r="N837" s="35"/>
      <c r="O837" s="35"/>
      <c r="P837" s="35"/>
      <c r="Q837" s="35"/>
      <c r="R837" s="35"/>
      <c r="S837" s="35"/>
      <c r="T837" s="35" t="s">
        <v>544</v>
      </c>
      <c r="U837" s="68"/>
      <c r="V837" s="225"/>
      <c r="W837" s="225"/>
    </row>
    <row r="838" spans="1:23">
      <c r="A838" s="12" t="s">
        <v>65</v>
      </c>
      <c r="B838" s="35"/>
      <c r="C838" s="35"/>
      <c r="D838" s="35"/>
      <c r="E838" s="35"/>
      <c r="F838" s="35"/>
      <c r="G838" s="35"/>
      <c r="H838" s="35"/>
      <c r="I838" s="35">
        <v>405100000</v>
      </c>
      <c r="J838" s="35"/>
      <c r="K838" s="35"/>
      <c r="L838" s="290"/>
      <c r="M838" s="35"/>
      <c r="N838" s="35"/>
      <c r="O838" s="35"/>
      <c r="P838" s="35"/>
      <c r="Q838" s="35"/>
      <c r="R838" s="35"/>
      <c r="S838" s="35"/>
      <c r="T838" s="35">
        <v>0</v>
      </c>
      <c r="U838" s="68">
        <v>265000000</v>
      </c>
      <c r="V838" s="225" t="s">
        <v>544</v>
      </c>
      <c r="W838" s="225"/>
    </row>
    <row r="839" spans="1:23">
      <c r="A839" s="12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290"/>
      <c r="M839" s="35"/>
      <c r="N839" s="35"/>
      <c r="O839" s="35"/>
      <c r="P839" s="35"/>
      <c r="Q839" s="35"/>
      <c r="R839" s="35"/>
      <c r="S839" s="35"/>
      <c r="T839" s="35" t="s">
        <v>544</v>
      </c>
      <c r="U839" s="68"/>
      <c r="V839" s="225"/>
      <c r="W839" s="225"/>
    </row>
    <row r="840" spans="1:23">
      <c r="A840" s="12" t="s">
        <v>66</v>
      </c>
      <c r="B840" s="35">
        <v>168977000</v>
      </c>
      <c r="C840" s="35">
        <v>152222000</v>
      </c>
      <c r="D840" s="296">
        <v>139165000</v>
      </c>
      <c r="E840" s="35"/>
      <c r="F840" s="35"/>
      <c r="G840" s="35">
        <v>251447964</v>
      </c>
      <c r="H840" s="35"/>
      <c r="I840" s="35">
        <f>-2360324566-351192000</f>
        <v>-2711516566</v>
      </c>
      <c r="J840" s="35"/>
      <c r="K840" s="35">
        <v>92670880</v>
      </c>
      <c r="L840" s="290">
        <v>273336000</v>
      </c>
      <c r="M840" s="35">
        <v>183475000</v>
      </c>
      <c r="N840" s="35">
        <v>259446000</v>
      </c>
      <c r="O840" s="35">
        <v>536460500</v>
      </c>
      <c r="P840" s="35">
        <v>178618522</v>
      </c>
      <c r="Q840" s="35">
        <v>327163700</v>
      </c>
      <c r="R840" s="35">
        <v>148534000</v>
      </c>
      <c r="S840" s="35"/>
      <c r="T840" s="35">
        <f t="shared" si="149"/>
        <v>0</v>
      </c>
      <c r="U840" s="68">
        <v>1875363841</v>
      </c>
      <c r="V840" s="225" t="s">
        <v>544</v>
      </c>
      <c r="W840" s="225"/>
    </row>
    <row r="841" spans="1:23">
      <c r="A841" s="12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290"/>
      <c r="M841" s="35"/>
      <c r="N841" s="35"/>
      <c r="O841" s="35"/>
      <c r="P841" s="35"/>
      <c r="Q841" s="35"/>
      <c r="R841" s="35"/>
      <c r="S841" s="35"/>
      <c r="T841" s="35" t="s">
        <v>544</v>
      </c>
      <c r="U841" s="68"/>
      <c r="V841" s="225"/>
      <c r="W841" s="225"/>
    </row>
    <row r="842" spans="1:23">
      <c r="A842" s="12" t="s">
        <v>13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290"/>
      <c r="M842" s="35"/>
      <c r="N842" s="35"/>
      <c r="O842" s="35"/>
      <c r="P842" s="35"/>
      <c r="Q842" s="35"/>
      <c r="R842" s="35"/>
      <c r="S842" s="35"/>
      <c r="T842" s="35">
        <f t="shared" si="149"/>
        <v>0</v>
      </c>
      <c r="U842" s="68">
        <v>-1606649996</v>
      </c>
      <c r="V842" s="225" t="s">
        <v>544</v>
      </c>
      <c r="W842" s="225"/>
    </row>
    <row r="843" spans="1:23">
      <c r="A843" s="12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290"/>
      <c r="M843" s="35"/>
      <c r="N843" s="35"/>
      <c r="O843" s="35"/>
      <c r="P843" s="35"/>
      <c r="Q843" s="35"/>
      <c r="R843" s="35"/>
      <c r="S843" s="35"/>
      <c r="T843" s="35" t="s">
        <v>544</v>
      </c>
      <c r="U843" s="68"/>
      <c r="V843" s="225"/>
      <c r="W843" s="225"/>
    </row>
    <row r="844" spans="1:23">
      <c r="A844" s="12" t="s">
        <v>14</v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290"/>
      <c r="M844" s="35"/>
      <c r="N844" s="35"/>
      <c r="O844" s="35"/>
      <c r="P844" s="35"/>
      <c r="Q844" s="35"/>
      <c r="R844" s="35"/>
      <c r="S844" s="35"/>
      <c r="T844" s="35">
        <f t="shared" si="149"/>
        <v>0</v>
      </c>
      <c r="U844" s="68">
        <v>-268713845</v>
      </c>
      <c r="V844" s="225" t="s">
        <v>544</v>
      </c>
      <c r="W844" s="225"/>
    </row>
    <row r="845" spans="1:23">
      <c r="A845" s="12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290"/>
      <c r="M845" s="35"/>
      <c r="N845" s="35"/>
      <c r="O845" s="35"/>
      <c r="P845" s="35"/>
      <c r="Q845" s="35"/>
      <c r="R845" s="35"/>
      <c r="S845" s="35"/>
      <c r="T845" s="35" t="s">
        <v>544</v>
      </c>
      <c r="U845" s="68"/>
      <c r="V845" s="225"/>
      <c r="W845" s="225"/>
    </row>
    <row r="846" spans="1:23">
      <c r="A846" s="12" t="s">
        <v>15</v>
      </c>
      <c r="B846" s="35">
        <v>-146733266.81</v>
      </c>
      <c r="C846" s="35">
        <v>-153982810</v>
      </c>
      <c r="D846" s="35">
        <v>-116741289.36</v>
      </c>
      <c r="E846" s="35"/>
      <c r="F846" s="35"/>
      <c r="G846" s="35">
        <v>-326914876</v>
      </c>
      <c r="H846" s="35"/>
      <c r="I846" s="35">
        <v>-7208815.0899999999</v>
      </c>
      <c r="J846" s="35"/>
      <c r="K846" s="35">
        <v>-97176506</v>
      </c>
      <c r="L846" s="290">
        <v>-277803120.29000002</v>
      </c>
      <c r="M846" s="35">
        <v>-154267041</v>
      </c>
      <c r="N846" s="35">
        <v>-224599889.52000001</v>
      </c>
      <c r="O846" s="35">
        <v>-421051409</v>
      </c>
      <c r="P846" s="35">
        <v>-161638827</v>
      </c>
      <c r="Q846" s="35">
        <v>-257034972</v>
      </c>
      <c r="R846" s="35">
        <v>-150259210</v>
      </c>
      <c r="S846" s="35"/>
      <c r="T846" s="35">
        <v>0</v>
      </c>
      <c r="U846" s="68">
        <v>-1957309858.95</v>
      </c>
      <c r="V846" s="225" t="s">
        <v>544</v>
      </c>
      <c r="W846" s="225"/>
    </row>
    <row r="847" spans="1:23">
      <c r="A847" s="12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290"/>
      <c r="M847" s="35"/>
      <c r="N847" s="35"/>
      <c r="O847" s="35"/>
      <c r="P847" s="35"/>
      <c r="Q847" s="35"/>
      <c r="R847" s="35"/>
      <c r="S847" s="35"/>
      <c r="T847" s="35" t="s">
        <v>544</v>
      </c>
      <c r="U847" s="68"/>
      <c r="V847" s="225"/>
      <c r="W847" s="225"/>
    </row>
    <row r="848" spans="1:23">
      <c r="A848" s="12" t="s">
        <v>16</v>
      </c>
      <c r="B848" s="35">
        <v>-431198</v>
      </c>
      <c r="C848" s="35">
        <v>0</v>
      </c>
      <c r="D848" s="35">
        <v>-505000</v>
      </c>
      <c r="E848" s="35"/>
      <c r="F848" s="35"/>
      <c r="G848" s="35">
        <v>0</v>
      </c>
      <c r="H848" s="35"/>
      <c r="I848" s="35"/>
      <c r="J848" s="35"/>
      <c r="K848" s="35">
        <v>0</v>
      </c>
      <c r="L848" s="290">
        <v>-2202984</v>
      </c>
      <c r="M848" s="35" t="s">
        <v>544</v>
      </c>
      <c r="N848" s="35">
        <v>0</v>
      </c>
      <c r="O848" s="35"/>
      <c r="P848" s="35"/>
      <c r="Q848" s="35"/>
      <c r="R848" s="35"/>
      <c r="S848" s="35"/>
      <c r="T848" s="35">
        <f t="shared" si="149"/>
        <v>-3139182</v>
      </c>
      <c r="U848" s="68">
        <v>-8694052</v>
      </c>
      <c r="V848" s="225" t="s">
        <v>544</v>
      </c>
      <c r="W848" s="225"/>
    </row>
    <row r="849" spans="1:23">
      <c r="A849" s="12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290"/>
      <c r="M849" s="35"/>
      <c r="N849" s="35"/>
      <c r="O849" s="35"/>
      <c r="P849" s="35"/>
      <c r="Q849" s="35"/>
      <c r="R849" s="35"/>
      <c r="S849" s="35"/>
      <c r="T849" s="35" t="s">
        <v>544</v>
      </c>
      <c r="U849" s="68"/>
      <c r="V849" s="225"/>
      <c r="W849" s="225"/>
    </row>
    <row r="850" spans="1:23">
      <c r="A850" s="12" t="s">
        <v>762</v>
      </c>
      <c r="B850" s="35">
        <v>-100000</v>
      </c>
      <c r="C850" s="35"/>
      <c r="D850" s="35">
        <v>-415272</v>
      </c>
      <c r="E850" s="35"/>
      <c r="F850" s="35"/>
      <c r="G850" s="35"/>
      <c r="H850" s="35"/>
      <c r="I850" s="35"/>
      <c r="J850" s="35"/>
      <c r="K850" s="35"/>
      <c r="L850" s="290"/>
      <c r="M850" s="35"/>
      <c r="N850" s="35"/>
      <c r="O850" s="35"/>
      <c r="P850" s="35"/>
      <c r="Q850" s="35"/>
      <c r="R850" s="35"/>
      <c r="S850" s="35"/>
      <c r="T850" s="35">
        <f t="shared" si="149"/>
        <v>-515272</v>
      </c>
      <c r="U850" s="68"/>
      <c r="V850" s="225"/>
      <c r="W850" s="225"/>
    </row>
    <row r="851" spans="1:23">
      <c r="A851" s="12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290"/>
      <c r="M851" s="35"/>
      <c r="N851" s="35"/>
      <c r="O851" s="35"/>
      <c r="P851" s="35"/>
      <c r="Q851" s="35"/>
      <c r="R851" s="35"/>
      <c r="S851" s="35"/>
      <c r="T851" s="35" t="s">
        <v>544</v>
      </c>
      <c r="U851" s="68"/>
      <c r="V851" s="225"/>
      <c r="W851" s="225"/>
    </row>
    <row r="852" spans="1:23">
      <c r="A852" s="12" t="s">
        <v>17</v>
      </c>
      <c r="B852" s="35"/>
      <c r="C852" s="35"/>
      <c r="D852" s="35"/>
      <c r="E852" s="35"/>
      <c r="F852" s="35"/>
      <c r="G852" s="35">
        <v>0</v>
      </c>
      <c r="H852" s="35"/>
      <c r="I852" s="35"/>
      <c r="J852" s="35"/>
      <c r="K852" s="35"/>
      <c r="L852" s="290"/>
      <c r="M852" s="35"/>
      <c r="N852" s="35"/>
      <c r="O852" s="35"/>
      <c r="P852" s="35"/>
      <c r="Q852" s="35"/>
      <c r="R852" s="35"/>
      <c r="S852" s="35"/>
      <c r="T852" s="35">
        <f t="shared" si="149"/>
        <v>0</v>
      </c>
      <c r="U852" s="68">
        <v>-78897755</v>
      </c>
      <c r="V852" s="225"/>
      <c r="W852" s="225"/>
    </row>
    <row r="853" spans="1:23">
      <c r="A853" s="12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290"/>
      <c r="M853" s="35"/>
      <c r="N853" s="35"/>
      <c r="O853" s="35"/>
      <c r="P853" s="35"/>
      <c r="Q853" s="35"/>
      <c r="R853" s="35"/>
      <c r="S853" s="35"/>
      <c r="T853" s="35" t="s">
        <v>544</v>
      </c>
      <c r="U853" s="68"/>
      <c r="V853" s="225"/>
      <c r="W853" s="225"/>
    </row>
    <row r="854" spans="1:23">
      <c r="A854" s="12" t="s">
        <v>784</v>
      </c>
      <c r="B854" s="35">
        <v>0</v>
      </c>
      <c r="C854" s="35">
        <v>0</v>
      </c>
      <c r="D854" s="35">
        <v>0</v>
      </c>
      <c r="E854" s="35"/>
      <c r="F854" s="35"/>
      <c r="G854" s="35">
        <v>0</v>
      </c>
      <c r="H854" s="35"/>
      <c r="I854" s="35"/>
      <c r="J854" s="35"/>
      <c r="K854" s="35">
        <v>0</v>
      </c>
      <c r="L854" s="290">
        <v>0</v>
      </c>
      <c r="M854" s="35" t="s">
        <v>254</v>
      </c>
      <c r="N854" s="35"/>
      <c r="O854" s="35"/>
      <c r="P854" s="35"/>
      <c r="Q854" s="35"/>
      <c r="R854" s="35">
        <v>0</v>
      </c>
      <c r="S854" s="35"/>
      <c r="T854" s="35">
        <v>612350221.83000004</v>
      </c>
      <c r="U854" s="68">
        <v>0</v>
      </c>
      <c r="V854" s="225" t="s">
        <v>544</v>
      </c>
      <c r="W854" s="225"/>
    </row>
    <row r="855" spans="1:23">
      <c r="A855" s="12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290"/>
      <c r="M855" s="35"/>
      <c r="N855" s="35"/>
      <c r="O855" s="35"/>
      <c r="P855" s="35"/>
      <c r="Q855" s="35"/>
      <c r="R855" s="35"/>
      <c r="S855" s="35"/>
      <c r="T855" s="35" t="s">
        <v>544</v>
      </c>
      <c r="U855" s="68"/>
      <c r="V855" s="225"/>
      <c r="W855" s="225"/>
    </row>
    <row r="856" spans="1:23">
      <c r="A856" s="12" t="s">
        <v>296</v>
      </c>
      <c r="B856" s="35"/>
      <c r="C856" s="35"/>
      <c r="D856" s="35"/>
      <c r="E856" s="35"/>
      <c r="F856" s="35"/>
      <c r="G856" s="35"/>
      <c r="H856" s="35"/>
      <c r="I856" s="35">
        <v>0</v>
      </c>
      <c r="J856" s="35"/>
      <c r="K856" s="35"/>
      <c r="L856" s="290"/>
      <c r="M856" s="35"/>
      <c r="N856" s="35"/>
      <c r="O856" s="35"/>
      <c r="P856" s="35"/>
      <c r="Q856" s="35"/>
      <c r="R856" s="35"/>
      <c r="S856" s="35"/>
      <c r="T856" s="35">
        <v>0</v>
      </c>
      <c r="U856" s="68">
        <v>-288000000</v>
      </c>
      <c r="V856" s="225" t="s">
        <v>544</v>
      </c>
      <c r="W856" s="225"/>
    </row>
    <row r="857" spans="1:23">
      <c r="A857" s="12" t="s">
        <v>785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290"/>
      <c r="M857" s="35"/>
      <c r="N857" s="35"/>
      <c r="O857" s="35"/>
      <c r="P857" s="35"/>
      <c r="Q857" s="35"/>
      <c r="R857" s="35"/>
      <c r="S857" s="35"/>
      <c r="T857" s="35">
        <v>3654454</v>
      </c>
      <c r="U857" s="68"/>
      <c r="V857" s="225"/>
      <c r="W857" s="225"/>
    </row>
    <row r="858" spans="1:23">
      <c r="A858" s="13" t="s">
        <v>597</v>
      </c>
      <c r="B858" s="297">
        <f t="shared" ref="B858:G858" si="150">SUM(B834:B856)</f>
        <v>13228289.410000026</v>
      </c>
      <c r="C858" s="37">
        <f t="shared" si="150"/>
        <v>6712932</v>
      </c>
      <c r="D858" s="37">
        <f t="shared" si="150"/>
        <v>31188880.38000001</v>
      </c>
      <c r="E858" s="37">
        <f t="shared" si="150"/>
        <v>0</v>
      </c>
      <c r="F858" s="37">
        <f t="shared" si="150"/>
        <v>0</v>
      </c>
      <c r="G858" s="297">
        <f t="shared" si="150"/>
        <v>-4516179.75</v>
      </c>
      <c r="H858" s="37"/>
      <c r="I858" s="37">
        <f t="shared" ref="I858:R858" si="151">SUM(I834:I856)</f>
        <v>219563091.43999973</v>
      </c>
      <c r="J858" s="37">
        <f t="shared" si="151"/>
        <v>0</v>
      </c>
      <c r="K858" s="297">
        <f t="shared" si="151"/>
        <v>5008861</v>
      </c>
      <c r="L858" s="297">
        <f t="shared" si="151"/>
        <v>20613470.300000012</v>
      </c>
      <c r="M858" s="297">
        <f t="shared" si="151"/>
        <v>37270821.639999986</v>
      </c>
      <c r="N858" s="297">
        <f t="shared" si="151"/>
        <v>29475663.829999983</v>
      </c>
      <c r="O858" s="297">
        <f t="shared" si="151"/>
        <v>103049764.35999995</v>
      </c>
      <c r="P858" s="297">
        <f t="shared" si="151"/>
        <v>63110699.969999999</v>
      </c>
      <c r="Q858" s="297">
        <f t="shared" si="151"/>
        <v>77057418.99000001</v>
      </c>
      <c r="R858" s="297">
        <f t="shared" si="151"/>
        <v>18354578.530000001</v>
      </c>
      <c r="S858" s="37"/>
      <c r="T858" s="37">
        <f>SUM(T834:T857)</f>
        <v>1.1920928955078125E-7</v>
      </c>
      <c r="U858" s="37">
        <f>SUM(U834:U856)</f>
        <v>-612350221.83000016</v>
      </c>
    </row>
    <row r="859" spans="1:23">
      <c r="I859" s="222" t="s">
        <v>544</v>
      </c>
      <c r="J859" s="222"/>
    </row>
    <row r="860" spans="1:23">
      <c r="I860" s="222"/>
      <c r="J860" s="222"/>
      <c r="T860" s="225"/>
    </row>
    <row r="887" spans="1:4">
      <c r="A887" s="63" t="s">
        <v>304</v>
      </c>
      <c r="B887" s="69"/>
      <c r="C887" s="67" t="s">
        <v>994</v>
      </c>
    </row>
    <row r="888" spans="1:4">
      <c r="A888" s="67"/>
      <c r="B888" s="68"/>
      <c r="C888" s="68"/>
      <c r="D888" s="230"/>
    </row>
    <row r="889" spans="1:4">
      <c r="A889" s="67" t="s">
        <v>536</v>
      </c>
      <c r="B889" s="261" t="s">
        <v>542</v>
      </c>
      <c r="C889" s="261" t="s">
        <v>543</v>
      </c>
    </row>
    <row r="890" spans="1:4">
      <c r="A890" s="67"/>
      <c r="B890" s="261" t="s">
        <v>83</v>
      </c>
      <c r="C890" s="261" t="s">
        <v>537</v>
      </c>
      <c r="D890" s="9"/>
    </row>
    <row r="891" spans="1:4">
      <c r="A891" s="68"/>
      <c r="B891" s="261"/>
      <c r="C891" s="261"/>
    </row>
    <row r="892" spans="1:4">
      <c r="A892" s="202" t="s">
        <v>139</v>
      </c>
      <c r="B892" s="239">
        <f>+C896</f>
        <v>21216814190</v>
      </c>
      <c r="C892" s="202">
        <v>7441814190</v>
      </c>
      <c r="D892" s="187"/>
    </row>
    <row r="893" spans="1:4">
      <c r="A893" s="68"/>
      <c r="B893" s="301" t="s">
        <v>544</v>
      </c>
      <c r="C893" s="202" t="s">
        <v>544</v>
      </c>
      <c r="D893" s="187"/>
    </row>
    <row r="894" spans="1:4">
      <c r="A894" s="68" t="s">
        <v>306</v>
      </c>
      <c r="B894" s="301">
        <v>1080000000</v>
      </c>
      <c r="C894" s="202">
        <v>13775000000</v>
      </c>
      <c r="D894" s="187"/>
    </row>
    <row r="895" spans="1:4">
      <c r="A895" s="202"/>
      <c r="B895" s="202"/>
      <c r="C895" s="202"/>
      <c r="D895" s="187"/>
    </row>
    <row r="896" spans="1:4">
      <c r="A896" s="239" t="s">
        <v>151</v>
      </c>
      <c r="B896" s="289">
        <f>SUM(B892:B895)</f>
        <v>22296814190</v>
      </c>
      <c r="C896" s="289">
        <f>SUM(C892:C895)</f>
        <v>21216814190</v>
      </c>
    </row>
    <row r="901" spans="1:3">
      <c r="A901" s="63" t="s">
        <v>798</v>
      </c>
      <c r="B901" s="69"/>
      <c r="C901" s="67" t="s">
        <v>923</v>
      </c>
    </row>
    <row r="902" spans="1:3">
      <c r="A902" s="67" t="s">
        <v>799</v>
      </c>
      <c r="B902" s="68"/>
      <c r="C902" s="68"/>
    </row>
    <row r="903" spans="1:3">
      <c r="A903" s="67" t="s">
        <v>536</v>
      </c>
      <c r="B903" s="261" t="s">
        <v>542</v>
      </c>
      <c r="C903" s="261" t="s">
        <v>543</v>
      </c>
    </row>
    <row r="904" spans="1:3">
      <c r="A904" s="67"/>
      <c r="B904" s="261" t="s">
        <v>83</v>
      </c>
      <c r="C904" s="261" t="s">
        <v>537</v>
      </c>
    </row>
    <row r="905" spans="1:3">
      <c r="A905" s="68"/>
      <c r="B905" s="261"/>
      <c r="C905" s="261"/>
    </row>
    <row r="906" spans="1:3">
      <c r="A906" s="202" t="s">
        <v>139</v>
      </c>
      <c r="B906" s="239">
        <f>+C911</f>
        <v>0</v>
      </c>
      <c r="C906" s="202">
        <v>0</v>
      </c>
    </row>
    <row r="907" spans="1:3">
      <c r="A907" s="68"/>
      <c r="B907" s="301" t="s">
        <v>544</v>
      </c>
      <c r="C907" s="202" t="s">
        <v>544</v>
      </c>
    </row>
    <row r="908" spans="1:3">
      <c r="A908" s="68" t="s">
        <v>800</v>
      </c>
      <c r="B908" s="301">
        <v>700000000</v>
      </c>
      <c r="C908" s="202">
        <v>0</v>
      </c>
    </row>
    <row r="909" spans="1:3">
      <c r="A909" s="68" t="s">
        <v>801</v>
      </c>
      <c r="B909" s="202" t="s">
        <v>544</v>
      </c>
      <c r="C909" s="202" t="s">
        <v>544</v>
      </c>
    </row>
    <row r="910" spans="1:3">
      <c r="A910" s="202"/>
      <c r="B910" s="202"/>
      <c r="C910" s="202"/>
    </row>
    <row r="911" spans="1:3">
      <c r="A911" s="239" t="s">
        <v>151</v>
      </c>
      <c r="B911" s="289">
        <f>SUM(B906:B910)</f>
        <v>700000000</v>
      </c>
      <c r="C911" s="289">
        <f>SUM(C906:C910)</f>
        <v>0</v>
      </c>
    </row>
    <row r="922" spans="1:10">
      <c r="A922" s="68" t="s">
        <v>418</v>
      </c>
      <c r="B922" s="68" t="s">
        <v>544</v>
      </c>
      <c r="C922" s="285" t="s">
        <v>948</v>
      </c>
      <c r="I922" s="286" t="s">
        <v>544</v>
      </c>
      <c r="J922" s="286"/>
    </row>
    <row r="923" spans="1:10">
      <c r="A923" s="68"/>
      <c r="B923" s="68"/>
      <c r="C923" s="68"/>
    </row>
    <row r="924" spans="1:10">
      <c r="A924" s="68"/>
      <c r="B924" s="260" t="s">
        <v>542</v>
      </c>
      <c r="C924" s="260" t="s">
        <v>118</v>
      </c>
    </row>
    <row r="925" spans="1:10">
      <c r="A925" s="67" t="s">
        <v>979</v>
      </c>
      <c r="B925" s="261" t="s">
        <v>302</v>
      </c>
      <c r="C925" s="261" t="s">
        <v>302</v>
      </c>
    </row>
    <row r="926" spans="1:10">
      <c r="A926" s="68"/>
      <c r="B926" s="260" t="s">
        <v>97</v>
      </c>
      <c r="C926" s="260" t="s">
        <v>212</v>
      </c>
    </row>
    <row r="927" spans="1:10">
      <c r="A927" s="68"/>
      <c r="B927" s="68"/>
      <c r="C927" s="68"/>
    </row>
    <row r="928" spans="1:10">
      <c r="A928" s="69" t="s">
        <v>202</v>
      </c>
      <c r="B928" s="68"/>
      <c r="C928" s="68"/>
    </row>
    <row r="929" spans="1:8">
      <c r="A929" s="69"/>
      <c r="B929" s="68"/>
      <c r="C929" s="68"/>
    </row>
    <row r="930" spans="1:8">
      <c r="A930" s="69" t="s">
        <v>87</v>
      </c>
      <c r="B930" s="68">
        <v>180697000</v>
      </c>
      <c r="C930" s="68">
        <v>68197000</v>
      </c>
    </row>
    <row r="931" spans="1:8">
      <c r="A931" s="69"/>
      <c r="B931" s="68"/>
      <c r="C931" s="68"/>
    </row>
    <row r="932" spans="1:8">
      <c r="A932" s="68" t="s">
        <v>114</v>
      </c>
      <c r="B932" s="68">
        <v>26595781</v>
      </c>
      <c r="C932" s="68">
        <v>22500000</v>
      </c>
      <c r="H932" s="222"/>
    </row>
    <row r="933" spans="1:8">
      <c r="A933" s="68" t="s">
        <v>357</v>
      </c>
      <c r="B933" s="68">
        <f>94713076+6983527</f>
        <v>101696603</v>
      </c>
      <c r="C933" s="68">
        <v>90000000</v>
      </c>
    </row>
    <row r="934" spans="1:8">
      <c r="A934" s="68"/>
      <c r="B934" s="68"/>
      <c r="C934" s="68"/>
    </row>
    <row r="935" spans="1:8">
      <c r="A935" s="69" t="s">
        <v>115</v>
      </c>
      <c r="B935" s="69">
        <f ca="1">SUM(B930:B939)</f>
        <v>308989384</v>
      </c>
      <c r="C935" s="69">
        <f ca="1">SUM(C930:C939)</f>
        <v>180697000</v>
      </c>
    </row>
    <row r="936" spans="1:8">
      <c r="A936" s="69"/>
      <c r="B936" s="69"/>
      <c r="C936" s="69"/>
    </row>
    <row r="937" spans="1:8" ht="18">
      <c r="A937" s="309" t="s">
        <v>203</v>
      </c>
    </row>
    <row r="938" spans="1:8">
      <c r="A938" s="69"/>
    </row>
    <row r="939" spans="1:8">
      <c r="A939" s="69" t="s">
        <v>87</v>
      </c>
      <c r="B939" s="68">
        <f ca="1">C944</f>
        <v>169400000</v>
      </c>
      <c r="C939" s="68">
        <v>56900000</v>
      </c>
    </row>
    <row r="940" spans="1:8">
      <c r="A940" s="69"/>
      <c r="B940" s="68"/>
      <c r="C940" s="68"/>
    </row>
    <row r="941" spans="1:8">
      <c r="A941" s="68" t="s">
        <v>114</v>
      </c>
      <c r="B941" s="68">
        <v>22163150</v>
      </c>
      <c r="C941" s="68">
        <v>22500000</v>
      </c>
      <c r="H941" s="234"/>
    </row>
    <row r="942" spans="1:8">
      <c r="A942" s="68" t="s">
        <v>357</v>
      </c>
      <c r="B942" s="68">
        <f>78927564+5819606</f>
        <v>84747170</v>
      </c>
      <c r="C942" s="68">
        <v>90000000</v>
      </c>
      <c r="H942" s="234"/>
    </row>
    <row r="943" spans="1:8">
      <c r="A943" s="68"/>
      <c r="B943" s="68"/>
      <c r="C943" s="68"/>
      <c r="H943" s="234"/>
    </row>
    <row r="944" spans="1:8">
      <c r="A944" s="69" t="s">
        <v>116</v>
      </c>
      <c r="B944" s="69">
        <f ca="1">SUM(B939:B955)</f>
        <v>276310320</v>
      </c>
      <c r="C944" s="69">
        <f ca="1">SUM(C939:C955)</f>
        <v>169400000</v>
      </c>
      <c r="H944" s="222"/>
    </row>
    <row r="945" spans="1:8">
      <c r="A945" s="69"/>
      <c r="B945" s="69"/>
      <c r="C945" s="69"/>
      <c r="H945" s="222"/>
    </row>
    <row r="946" spans="1:8">
      <c r="A946" s="69" t="s">
        <v>213</v>
      </c>
      <c r="B946" s="68"/>
      <c r="C946" s="68"/>
      <c r="H946" s="222"/>
    </row>
    <row r="947" spans="1:8">
      <c r="A947" s="69"/>
      <c r="B947" s="68"/>
      <c r="C947" s="68"/>
      <c r="H947" s="222"/>
    </row>
    <row r="948" spans="1:8">
      <c r="A948" s="69" t="s">
        <v>87</v>
      </c>
      <c r="B948" s="68">
        <f>C953</f>
        <v>0</v>
      </c>
      <c r="C948" s="68">
        <v>56900000</v>
      </c>
      <c r="H948" s="222"/>
    </row>
    <row r="949" spans="1:8">
      <c r="A949" s="69"/>
      <c r="B949" s="68"/>
      <c r="C949" s="68"/>
      <c r="H949" s="222"/>
    </row>
    <row r="950" spans="1:8">
      <c r="A950" s="68" t="s">
        <v>114</v>
      </c>
      <c r="B950" s="68">
        <v>22163150</v>
      </c>
      <c r="C950" s="68">
        <v>27000000</v>
      </c>
      <c r="H950" s="222"/>
    </row>
    <row r="951" spans="1:8">
      <c r="A951" s="68" t="s">
        <v>357</v>
      </c>
      <c r="B951" s="68">
        <f>78927564+5819606</f>
        <v>84747170</v>
      </c>
      <c r="C951" s="68">
        <v>108000000</v>
      </c>
    </row>
    <row r="952" spans="1:8">
      <c r="A952" s="68"/>
      <c r="B952" s="68"/>
      <c r="C952" s="68"/>
    </row>
    <row r="953" spans="1:8">
      <c r="A953" s="69" t="s">
        <v>117</v>
      </c>
      <c r="B953" s="69">
        <f>SUM(E948:E963)</f>
        <v>0</v>
      </c>
      <c r="C953" s="69">
        <f>SUM(G948:G963)</f>
        <v>0</v>
      </c>
    </row>
    <row r="954" spans="1:8">
      <c r="A954" s="69"/>
      <c r="B954" s="310"/>
      <c r="C954" s="310"/>
    </row>
    <row r="955" spans="1:8" ht="16.5" thickBot="1">
      <c r="A955" s="69" t="s">
        <v>214</v>
      </c>
      <c r="B955" s="70">
        <f ca="1">+B935+B944+B953</f>
        <v>884110024</v>
      </c>
      <c r="C955" s="70">
        <f ca="1">+C935+C944+C953</f>
        <v>541997000</v>
      </c>
    </row>
    <row r="956" spans="1:8" ht="16.5" thickTop="1">
      <c r="A956" s="69"/>
      <c r="B956" s="310"/>
      <c r="C956" s="310"/>
    </row>
    <row r="957" spans="1:8">
      <c r="A957" s="43" t="s">
        <v>787</v>
      </c>
      <c r="B957" s="68">
        <v>-700000000</v>
      </c>
      <c r="H957" s="234"/>
    </row>
    <row r="958" spans="1:8">
      <c r="A958" s="43"/>
      <c r="B958" s="68"/>
      <c r="H958" s="234"/>
    </row>
    <row r="959" spans="1:8">
      <c r="A959" s="43" t="s">
        <v>786</v>
      </c>
      <c r="B959" s="69">
        <f ca="1">+B955+B957</f>
        <v>184110024</v>
      </c>
    </row>
    <row r="960" spans="1:8">
      <c r="A960" s="69"/>
      <c r="B960" s="68"/>
      <c r="C960" s="68"/>
      <c r="E960" s="68"/>
      <c r="F960" s="68"/>
      <c r="G960" s="68"/>
    </row>
    <row r="961" spans="1:14">
      <c r="H961" s="222"/>
    </row>
    <row r="962" spans="1:14">
      <c r="A962" s="68"/>
      <c r="B962" s="68"/>
      <c r="C962" s="68"/>
      <c r="D962" s="68"/>
      <c r="E962" s="68"/>
      <c r="F962" s="68"/>
      <c r="G962" s="68"/>
    </row>
    <row r="964" spans="1:14">
      <c r="D964" s="187"/>
      <c r="E964" s="187"/>
      <c r="F964" s="187"/>
      <c r="G964" s="187"/>
      <c r="H964" s="187"/>
      <c r="L964" s="187"/>
      <c r="M964" s="187"/>
      <c r="N964" s="187"/>
    </row>
    <row r="965" spans="1:14">
      <c r="D965" s="187"/>
      <c r="E965" s="187"/>
      <c r="F965" s="187"/>
      <c r="G965" s="187"/>
      <c r="H965" s="187"/>
      <c r="L965" s="199"/>
      <c r="M965" s="199"/>
      <c r="N965" s="199"/>
    </row>
    <row r="966" spans="1:14">
      <c r="A966" s="337" t="s">
        <v>916</v>
      </c>
      <c r="B966" s="117"/>
      <c r="C966" s="113" t="s">
        <v>544</v>
      </c>
      <c r="D966" s="187"/>
      <c r="E966" s="187"/>
      <c r="F966" s="187"/>
      <c r="G966" s="187"/>
      <c r="H966" s="335" t="s">
        <v>966</v>
      </c>
      <c r="L966" s="199"/>
      <c r="M966" s="199"/>
      <c r="N966" s="199"/>
    </row>
    <row r="967" spans="1:14">
      <c r="A967" s="144"/>
      <c r="B967" s="117"/>
      <c r="C967" s="113" t="s">
        <v>544</v>
      </c>
      <c r="D967" s="187"/>
      <c r="E967" s="187"/>
      <c r="F967" s="187"/>
      <c r="G967" s="187"/>
      <c r="H967" s="113"/>
      <c r="L967" s="187"/>
      <c r="M967" s="187"/>
      <c r="N967" s="187"/>
    </row>
    <row r="968" spans="1:14">
      <c r="A968" s="46"/>
      <c r="B968" s="127" t="s">
        <v>252</v>
      </c>
      <c r="C968" s="127" t="s">
        <v>544</v>
      </c>
      <c r="D968" s="187"/>
      <c r="E968" s="187"/>
      <c r="F968" s="187"/>
      <c r="G968" s="187"/>
      <c r="H968" s="127" t="s">
        <v>251</v>
      </c>
      <c r="L968" s="187"/>
      <c r="M968" s="187"/>
      <c r="N968" s="187"/>
    </row>
    <row r="969" spans="1:14">
      <c r="A969" s="46"/>
      <c r="B969" s="127"/>
      <c r="C969" s="127" t="s">
        <v>544</v>
      </c>
      <c r="D969" s="187"/>
      <c r="E969" s="187"/>
      <c r="F969" s="187"/>
      <c r="H969" s="127"/>
      <c r="L969" s="203"/>
      <c r="M969" s="203"/>
      <c r="N969" s="203"/>
    </row>
    <row r="970" spans="1:14">
      <c r="A970" s="46" t="s">
        <v>967</v>
      </c>
      <c r="B970" s="14">
        <v>231600000</v>
      </c>
      <c r="C970" s="14" t="s">
        <v>544</v>
      </c>
      <c r="D970" s="187"/>
      <c r="E970" s="187"/>
      <c r="F970" s="187"/>
      <c r="G970" s="187"/>
      <c r="H970" s="14">
        <v>231600000</v>
      </c>
      <c r="L970" s="187"/>
      <c r="M970" s="187"/>
      <c r="N970" s="187"/>
    </row>
    <row r="971" spans="1:14">
      <c r="A971" s="46" t="s">
        <v>968</v>
      </c>
      <c r="B971" s="117" t="s">
        <v>544</v>
      </c>
      <c r="C971" s="117" t="s">
        <v>544</v>
      </c>
      <c r="G971" s="187"/>
      <c r="H971" s="117" t="s">
        <v>544</v>
      </c>
      <c r="L971" s="203"/>
      <c r="M971" s="203"/>
      <c r="N971" s="203"/>
    </row>
    <row r="972" spans="1:14">
      <c r="A972" s="46" t="s">
        <v>695</v>
      </c>
      <c r="B972" s="14">
        <v>0</v>
      </c>
      <c r="C972" s="14" t="s">
        <v>544</v>
      </c>
      <c r="D972" s="200"/>
      <c r="E972" s="200"/>
      <c r="F972" s="200"/>
      <c r="G972" s="187"/>
      <c r="H972" s="14">
        <v>0</v>
      </c>
      <c r="I972" s="68"/>
      <c r="J972" s="68"/>
      <c r="K972" s="239"/>
      <c r="L972" s="203"/>
      <c r="M972" s="203"/>
      <c r="N972" s="203"/>
    </row>
    <row r="973" spans="1:14">
      <c r="A973" s="46" t="s">
        <v>969</v>
      </c>
      <c r="B973" s="14">
        <v>0</v>
      </c>
      <c r="C973" s="14" t="s">
        <v>544</v>
      </c>
      <c r="D973" s="200"/>
      <c r="E973" s="200"/>
      <c r="F973" s="200"/>
      <c r="G973" s="187"/>
      <c r="H973" s="14">
        <v>0</v>
      </c>
      <c r="K973" s="203"/>
      <c r="L973" s="203"/>
      <c r="M973" s="203"/>
      <c r="N973" s="203"/>
    </row>
    <row r="974" spans="1:14">
      <c r="A974" s="46" t="s">
        <v>970</v>
      </c>
      <c r="B974" s="14">
        <v>0</v>
      </c>
      <c r="C974" s="14" t="s">
        <v>544</v>
      </c>
      <c r="D974" s="200"/>
      <c r="E974" s="200"/>
      <c r="F974" s="200"/>
      <c r="G974" s="187"/>
      <c r="H974" s="14">
        <v>0</v>
      </c>
      <c r="K974" s="203"/>
      <c r="L974" s="203"/>
      <c r="M974" s="203"/>
      <c r="N974" s="203"/>
    </row>
    <row r="975" spans="1:14">
      <c r="A975" s="46" t="s">
        <v>971</v>
      </c>
      <c r="B975" s="14">
        <v>0</v>
      </c>
      <c r="C975" s="14" t="s">
        <v>544</v>
      </c>
      <c r="D975" s="200"/>
      <c r="E975" s="200"/>
      <c r="F975" s="200"/>
      <c r="G975" s="187"/>
      <c r="H975" s="14">
        <v>0</v>
      </c>
      <c r="K975" s="203"/>
      <c r="L975" s="203"/>
      <c r="M975" s="203"/>
      <c r="N975" s="203"/>
    </row>
    <row r="976" spans="1:14">
      <c r="A976" s="46"/>
      <c r="B976" s="117" t="s">
        <v>544</v>
      </c>
      <c r="C976" s="117" t="s">
        <v>544</v>
      </c>
      <c r="D976" s="200"/>
      <c r="E976" s="200"/>
      <c r="F976" s="200"/>
      <c r="G976" s="187"/>
      <c r="H976" s="117"/>
      <c r="I976" s="203"/>
      <c r="J976" s="203"/>
      <c r="K976" s="203"/>
      <c r="L976" s="203"/>
      <c r="M976" s="203"/>
      <c r="N976" s="203"/>
    </row>
    <row r="977" spans="1:15">
      <c r="A977" s="144" t="s">
        <v>439</v>
      </c>
      <c r="B977" s="17">
        <v>231600000</v>
      </c>
      <c r="C977" s="17" t="s">
        <v>544</v>
      </c>
      <c r="D977" s="200"/>
      <c r="E977" s="200"/>
      <c r="F977" s="200"/>
      <c r="G977" s="187"/>
      <c r="H977" s="17">
        <v>231600000</v>
      </c>
      <c r="I977" s="203"/>
      <c r="J977" s="203"/>
      <c r="K977" s="203"/>
      <c r="L977" s="203"/>
      <c r="M977" s="203"/>
      <c r="N977" s="203"/>
    </row>
    <row r="978" spans="1:15">
      <c r="L978" s="9"/>
      <c r="M978" s="9"/>
      <c r="N978" s="9"/>
    </row>
    <row r="979" spans="1:15">
      <c r="D979" s="230"/>
      <c r="E979" s="230"/>
      <c r="F979" s="230"/>
    </row>
    <row r="980" spans="1:15">
      <c r="A980" s="69" t="s">
        <v>991</v>
      </c>
      <c r="B980" s="68"/>
      <c r="C980" s="68"/>
      <c r="D980" s="68"/>
      <c r="E980" s="69" t="s">
        <v>544</v>
      </c>
      <c r="F980" s="69"/>
      <c r="G980" s="69" t="s">
        <v>544</v>
      </c>
      <c r="H980" s="69"/>
      <c r="L980" s="194"/>
      <c r="M980" s="194"/>
      <c r="N980" s="194"/>
      <c r="O980" s="9"/>
    </row>
    <row r="981" spans="1:15">
      <c r="A981" s="69"/>
      <c r="B981" s="68"/>
      <c r="C981" s="68"/>
      <c r="D981" s="68"/>
      <c r="E981" s="69"/>
      <c r="F981" s="69"/>
      <c r="G981" s="69"/>
      <c r="H981" s="69"/>
      <c r="L981" s="194"/>
      <c r="M981" s="194"/>
      <c r="N981" s="194"/>
      <c r="O981" s="9"/>
    </row>
    <row r="982" spans="1:15">
      <c r="A982" s="69" t="s">
        <v>19</v>
      </c>
      <c r="B982" s="271" t="s">
        <v>419</v>
      </c>
      <c r="C982" s="298" t="s">
        <v>543</v>
      </c>
      <c r="D982" s="298" t="s">
        <v>297</v>
      </c>
      <c r="E982" s="298" t="s">
        <v>652</v>
      </c>
      <c r="F982" s="298" t="s">
        <v>298</v>
      </c>
      <c r="G982" s="298" t="s">
        <v>724</v>
      </c>
      <c r="H982" s="298" t="s">
        <v>3</v>
      </c>
      <c r="L982" s="197"/>
      <c r="M982" s="197"/>
      <c r="N982" s="197"/>
    </row>
    <row r="983" spans="1:15">
      <c r="A983" s="202" t="s">
        <v>544</v>
      </c>
      <c r="B983" s="298" t="s">
        <v>3</v>
      </c>
      <c r="C983" s="298" t="s">
        <v>653</v>
      </c>
      <c r="D983" s="298" t="s">
        <v>300</v>
      </c>
      <c r="E983" s="298" t="s">
        <v>281</v>
      </c>
      <c r="F983" s="298" t="s">
        <v>301</v>
      </c>
      <c r="G983" s="298" t="s">
        <v>725</v>
      </c>
      <c r="H983" s="298" t="s">
        <v>92</v>
      </c>
      <c r="L983" s="199"/>
      <c r="M983" s="199"/>
      <c r="N983" s="199"/>
    </row>
    <row r="984" spans="1:15">
      <c r="A984" s="202"/>
      <c r="B984" s="271" t="s">
        <v>89</v>
      </c>
      <c r="C984" s="298"/>
      <c r="D984" s="298" t="s">
        <v>303</v>
      </c>
      <c r="E984" s="298"/>
      <c r="F984" s="298" t="s">
        <v>303</v>
      </c>
      <c r="G984" s="298" t="s">
        <v>544</v>
      </c>
      <c r="H984" s="298"/>
      <c r="L984" s="199"/>
      <c r="M984" s="199"/>
      <c r="N984" s="199"/>
    </row>
    <row r="985" spans="1:15">
      <c r="A985" s="202"/>
      <c r="B985" s="271" t="s">
        <v>544</v>
      </c>
      <c r="C985" s="68"/>
      <c r="D985" s="68"/>
      <c r="E985" s="68"/>
      <c r="F985" s="68"/>
      <c r="G985" s="68"/>
      <c r="H985" s="68"/>
      <c r="L985" s="203"/>
      <c r="M985" s="203"/>
      <c r="N985" s="203"/>
    </row>
    <row r="986" spans="1:15">
      <c r="A986" s="202"/>
      <c r="B986" s="271"/>
      <c r="C986" s="68"/>
      <c r="D986" s="68"/>
      <c r="E986" s="68"/>
      <c r="F986" s="68"/>
      <c r="G986" s="68"/>
      <c r="H986" s="68"/>
      <c r="I986" s="203"/>
      <c r="J986" s="203"/>
      <c r="K986" s="203"/>
      <c r="L986" s="203"/>
      <c r="M986" s="203"/>
      <c r="N986" s="203"/>
    </row>
    <row r="987" spans="1:15">
      <c r="A987" s="330" t="s">
        <v>408</v>
      </c>
      <c r="B987" s="105">
        <v>2365000</v>
      </c>
      <c r="C987" s="68">
        <v>0</v>
      </c>
      <c r="D987" s="68">
        <v>0</v>
      </c>
      <c r="E987" s="68">
        <v>0</v>
      </c>
      <c r="F987" s="68">
        <v>0</v>
      </c>
      <c r="G987" s="68">
        <v>0</v>
      </c>
      <c r="H987" s="68">
        <f t="shared" ref="H987:H995" si="152">SUM(B987:G987)</f>
        <v>2365000</v>
      </c>
    </row>
    <row r="988" spans="1:15">
      <c r="A988" s="330" t="s">
        <v>594</v>
      </c>
      <c r="B988" s="68">
        <v>19722472</v>
      </c>
      <c r="C988" s="68">
        <v>0</v>
      </c>
      <c r="D988" s="68">
        <v>0</v>
      </c>
      <c r="E988" s="68">
        <v>4493528</v>
      </c>
      <c r="F988" s="68">
        <v>0</v>
      </c>
      <c r="G988" s="68">
        <v>0</v>
      </c>
      <c r="H988" s="68">
        <f t="shared" si="152"/>
        <v>24216000</v>
      </c>
    </row>
    <row r="989" spans="1:15">
      <c r="A989" s="330" t="s">
        <v>409</v>
      </c>
      <c r="B989" s="68">
        <v>-7874288</v>
      </c>
      <c r="C989" s="68">
        <v>0</v>
      </c>
      <c r="D989" s="68">
        <v>0</v>
      </c>
      <c r="E989" s="68">
        <v>9243288</v>
      </c>
      <c r="F989" s="68">
        <v>0</v>
      </c>
      <c r="G989" s="68">
        <v>0</v>
      </c>
      <c r="H989" s="68">
        <f t="shared" si="152"/>
        <v>1369000</v>
      </c>
    </row>
    <row r="990" spans="1:15">
      <c r="A990" s="330" t="s">
        <v>410</v>
      </c>
      <c r="B990" s="68">
        <v>-1005897</v>
      </c>
      <c r="C990" s="68"/>
      <c r="D990" s="68">
        <v>0</v>
      </c>
      <c r="E990" s="68">
        <v>32897</v>
      </c>
      <c r="F990" s="68">
        <v>0</v>
      </c>
      <c r="G990" s="68">
        <v>0</v>
      </c>
      <c r="H990" s="68">
        <f t="shared" si="152"/>
        <v>-973000</v>
      </c>
    </row>
    <row r="991" spans="1:15">
      <c r="A991" s="330" t="s">
        <v>411</v>
      </c>
      <c r="B991" s="68">
        <v>-154577</v>
      </c>
      <c r="C991" s="68">
        <v>0</v>
      </c>
      <c r="D991" s="68">
        <v>0</v>
      </c>
      <c r="E991" s="68">
        <v>1180577</v>
      </c>
      <c r="F991" s="68">
        <v>0</v>
      </c>
      <c r="G991" s="68">
        <v>0</v>
      </c>
      <c r="H991" s="68">
        <f t="shared" si="152"/>
        <v>1026000</v>
      </c>
    </row>
    <row r="992" spans="1:15">
      <c r="A992" s="330" t="s">
        <v>412</v>
      </c>
      <c r="B992" s="68">
        <v>-6113926</v>
      </c>
      <c r="C992" s="68">
        <v>0</v>
      </c>
      <c r="D992" s="68">
        <v>0</v>
      </c>
      <c r="E992" s="68">
        <v>9193926</v>
      </c>
      <c r="F992" s="68">
        <v>0</v>
      </c>
      <c r="G992" s="68">
        <v>0</v>
      </c>
      <c r="H992" s="68">
        <f t="shared" si="152"/>
        <v>3080000</v>
      </c>
    </row>
    <row r="993" spans="1:11">
      <c r="A993" s="331" t="s">
        <v>356</v>
      </c>
      <c r="B993" s="68">
        <v>-2509482</v>
      </c>
      <c r="C993" s="299">
        <v>6349482</v>
      </c>
      <c r="D993" s="68">
        <v>0</v>
      </c>
      <c r="E993" s="68">
        <v>0</v>
      </c>
      <c r="F993" s="68">
        <v>0</v>
      </c>
      <c r="G993" s="68">
        <v>0</v>
      </c>
      <c r="H993" s="68">
        <f t="shared" si="152"/>
        <v>3840000</v>
      </c>
    </row>
    <row r="994" spans="1:11">
      <c r="A994" s="330" t="s">
        <v>416</v>
      </c>
      <c r="B994" s="68">
        <v>-67589</v>
      </c>
      <c r="C994" s="68">
        <v>0</v>
      </c>
      <c r="D994" s="68">
        <v>0</v>
      </c>
      <c r="E994" s="68">
        <v>2397589</v>
      </c>
      <c r="F994" s="68">
        <v>0</v>
      </c>
      <c r="G994" s="68">
        <v>0</v>
      </c>
      <c r="H994" s="68">
        <f t="shared" si="152"/>
        <v>2330000</v>
      </c>
      <c r="K994" s="336"/>
    </row>
    <row r="995" spans="1:11">
      <c r="A995" s="330" t="s">
        <v>417</v>
      </c>
      <c r="B995" s="68">
        <v>-1016321</v>
      </c>
      <c r="C995" s="68">
        <v>0</v>
      </c>
      <c r="D995" s="68">
        <v>0</v>
      </c>
      <c r="E995" s="68">
        <v>3621321</v>
      </c>
      <c r="F995" s="68">
        <v>0</v>
      </c>
      <c r="G995" s="68">
        <v>0</v>
      </c>
      <c r="H995" s="68">
        <f t="shared" si="152"/>
        <v>2605000</v>
      </c>
      <c r="K995" s="336"/>
    </row>
    <row r="996" spans="1:11">
      <c r="A996" s="330" t="s">
        <v>545</v>
      </c>
      <c r="B996" s="68">
        <v>24815037</v>
      </c>
      <c r="C996" s="68">
        <v>0</v>
      </c>
      <c r="D996" s="68">
        <v>5072548</v>
      </c>
      <c r="E996" s="68">
        <v>0</v>
      </c>
      <c r="F996" s="68">
        <v>12848226</v>
      </c>
      <c r="G996" s="68">
        <v>3081919</v>
      </c>
      <c r="H996" s="68">
        <f>SUM(B996:G996)</f>
        <v>45817730</v>
      </c>
      <c r="K996" s="336"/>
    </row>
    <row r="997" spans="1:11">
      <c r="A997" s="68"/>
      <c r="B997" s="68"/>
      <c r="C997" s="68"/>
      <c r="D997" s="68"/>
      <c r="E997" s="68"/>
      <c r="F997" s="68" t="s">
        <v>544</v>
      </c>
      <c r="G997" s="68"/>
      <c r="H997" s="68"/>
      <c r="K997" s="336"/>
    </row>
    <row r="998" spans="1:11">
      <c r="A998" s="69" t="s">
        <v>439</v>
      </c>
      <c r="B998" s="69">
        <f t="shared" ref="B998:H998" si="153">SUM(B987:B997)</f>
        <v>28160429</v>
      </c>
      <c r="C998" s="69">
        <f t="shared" si="153"/>
        <v>6349482</v>
      </c>
      <c r="D998" s="69">
        <f t="shared" si="153"/>
        <v>5072548</v>
      </c>
      <c r="E998" s="69">
        <f t="shared" si="153"/>
        <v>30163126</v>
      </c>
      <c r="F998" s="69">
        <f t="shared" si="153"/>
        <v>12848226</v>
      </c>
      <c r="G998" s="69">
        <f t="shared" si="153"/>
        <v>3081919</v>
      </c>
      <c r="H998" s="69">
        <f t="shared" si="153"/>
        <v>85675730</v>
      </c>
      <c r="K998" s="336"/>
    </row>
    <row r="999" spans="1:11">
      <c r="K999" s="336"/>
    </row>
    <row r="1000" spans="1:11">
      <c r="K1000" s="336"/>
    </row>
    <row r="1001" spans="1:11" ht="16.5" thickBot="1">
      <c r="A1001" s="43" t="s">
        <v>611</v>
      </c>
      <c r="B1001" s="228">
        <f>+B977+B998</f>
        <v>259760429</v>
      </c>
      <c r="F1001" s="43"/>
      <c r="G1001" s="43" t="s">
        <v>544</v>
      </c>
      <c r="H1001" s="253">
        <f>+H977+H998</f>
        <v>317275730</v>
      </c>
      <c r="K1001" s="336"/>
    </row>
    <row r="1002" spans="1:11" ht="16.5" thickTop="1">
      <c r="A1002" s="280"/>
      <c r="B1002" s="280"/>
      <c r="C1002" s="280"/>
      <c r="D1002" s="280"/>
      <c r="E1002" s="280"/>
      <c r="F1002" s="280"/>
      <c r="G1002" s="280"/>
      <c r="H1002" s="280"/>
      <c r="I1002" s="280"/>
      <c r="J1002" s="280"/>
    </row>
    <row r="1018" spans="9:37">
      <c r="I1018" s="222"/>
      <c r="J1018" s="222"/>
    </row>
    <row r="1019" spans="9:37">
      <c r="I1019" s="222"/>
      <c r="J1019" s="222"/>
    </row>
    <row r="1020" spans="9:37">
      <c r="R1020" s="222" t="s">
        <v>544</v>
      </c>
      <c r="S1020" s="222"/>
      <c r="AK1020" s="222" t="s">
        <v>544</v>
      </c>
    </row>
    <row r="1040" spans="2:14">
      <c r="B1040" s="300"/>
      <c r="C1040" s="300"/>
      <c r="D1040" s="300"/>
      <c r="E1040" s="300"/>
      <c r="F1040" s="300"/>
      <c r="G1040" s="300"/>
      <c r="H1040" s="300"/>
      <c r="I1040" s="68"/>
      <c r="J1040" s="68"/>
      <c r="K1040" s="68"/>
      <c r="L1040" s="68"/>
      <c r="M1040" s="68"/>
      <c r="N1040" s="68"/>
    </row>
    <row r="1041" spans="5:8">
      <c r="H1041" s="225"/>
    </row>
    <row r="1050" spans="5:8">
      <c r="E1050" s="230"/>
      <c r="F1050" s="230"/>
    </row>
    <row r="1051" spans="5:8">
      <c r="G1051" s="9"/>
      <c r="H1051" s="9"/>
    </row>
    <row r="1052" spans="5:8">
      <c r="E1052" s="9"/>
      <c r="F1052" s="9"/>
      <c r="G1052" s="9"/>
      <c r="H1052" s="9"/>
    </row>
    <row r="1054" spans="5:8">
      <c r="E1054" s="187"/>
      <c r="F1054" s="187"/>
      <c r="G1054" s="187"/>
      <c r="H1054" s="187"/>
    </row>
    <row r="1055" spans="5:8">
      <c r="E1055" s="187"/>
      <c r="F1055" s="187"/>
      <c r="G1055" s="187"/>
      <c r="H1055" s="187"/>
    </row>
    <row r="1056" spans="5:8">
      <c r="E1056" s="187"/>
      <c r="F1056" s="187"/>
      <c r="G1056" s="187"/>
      <c r="H1056" s="187"/>
    </row>
    <row r="1057" spans="5:34">
      <c r="E1057" s="187"/>
      <c r="F1057" s="187"/>
      <c r="G1057" s="187"/>
      <c r="H1057" s="187"/>
    </row>
    <row r="1058" spans="5:34">
      <c r="G1058" s="187"/>
      <c r="H1058" s="187"/>
    </row>
    <row r="1067" spans="5:34">
      <c r="V1067" s="43" t="s">
        <v>307</v>
      </c>
      <c r="W1067" s="43"/>
      <c r="X1067" s="43"/>
      <c r="Y1067" s="43"/>
      <c r="Z1067" s="43" t="s">
        <v>308</v>
      </c>
      <c r="AA1067" s="43" t="s">
        <v>309</v>
      </c>
      <c r="AB1067" s="43"/>
      <c r="AC1067" s="43"/>
      <c r="AD1067" s="43"/>
      <c r="AE1067" s="43"/>
      <c r="AF1067" s="43"/>
      <c r="AG1067" s="43"/>
      <c r="AH1067" s="43"/>
    </row>
    <row r="1068" spans="5:34">
      <c r="Z1068" s="43" t="s">
        <v>63</v>
      </c>
    </row>
    <row r="1071" spans="5:34">
      <c r="V1071" s="77">
        <v>369637738</v>
      </c>
      <c r="Z1071" s="77">
        <v>314775162</v>
      </c>
      <c r="AA1071" s="77">
        <f>SUM(V1071:Z1071)</f>
        <v>684412900</v>
      </c>
    </row>
    <row r="1073" spans="22:27">
      <c r="V1073" s="77">
        <v>641911872</v>
      </c>
      <c r="Z1073" s="77">
        <v>921101059</v>
      </c>
      <c r="AA1073" s="77">
        <f>SUM(V1073:Z1073)</f>
        <v>1563012931</v>
      </c>
    </row>
    <row r="1074" spans="22:27">
      <c r="V1074" s="77">
        <v>402253769</v>
      </c>
      <c r="Z1074" s="77">
        <v>261039665</v>
      </c>
      <c r="AA1074" s="77">
        <f>SUM(V1074:Z1074)</f>
        <v>663293434</v>
      </c>
    </row>
    <row r="1076" spans="22:27">
      <c r="V1076" s="77">
        <f>SUM(V1071:V1074)</f>
        <v>1413803379</v>
      </c>
      <c r="Z1076" s="77">
        <f>SUM(Z1071:Z1074)</f>
        <v>1496915886</v>
      </c>
      <c r="AA1076" s="77">
        <f>SUM(AA1071:AA1074)</f>
        <v>2910719265</v>
      </c>
    </row>
    <row r="1080" spans="22:27">
      <c r="V1080" s="77">
        <v>73104675</v>
      </c>
      <c r="Z1080" s="77">
        <v>56258392</v>
      </c>
      <c r="AA1080" s="77">
        <f>SUM(V1080:Z1080)</f>
        <v>129363067</v>
      </c>
    </row>
    <row r="1082" spans="22:27">
      <c r="V1082" s="77">
        <v>123118656</v>
      </c>
      <c r="Z1082" s="77">
        <v>134845465</v>
      </c>
      <c r="AA1082" s="77">
        <f>SUM(V1082:Z1082)</f>
        <v>257964121</v>
      </c>
    </row>
    <row r="1083" spans="22:27">
      <c r="V1083" s="77">
        <v>79026869</v>
      </c>
      <c r="Z1083" s="77">
        <v>40619283</v>
      </c>
      <c r="AA1083" s="77">
        <f>SUM(V1083:Z1083)</f>
        <v>119646152</v>
      </c>
    </row>
    <row r="1085" spans="22:27">
      <c r="V1085" s="77">
        <f>SUM(V1080:V1083)</f>
        <v>275250200</v>
      </c>
      <c r="Z1085" s="77">
        <f>SUM(Z1080:Z1083)</f>
        <v>231723140</v>
      </c>
      <c r="AA1085" s="77">
        <f>SUM(AA1080:AA1083)</f>
        <v>506973340</v>
      </c>
    </row>
    <row r="1089" spans="22:27">
      <c r="V1089" s="77">
        <v>52933853</v>
      </c>
      <c r="Z1089" s="77">
        <v>53251641</v>
      </c>
      <c r="AA1089" s="77">
        <f>SUM(V1089:Z1089)</f>
        <v>106185494</v>
      </c>
    </row>
    <row r="1091" spans="22:27">
      <c r="V1091" s="77">
        <v>91642956</v>
      </c>
      <c r="Z1091" s="77">
        <v>149017818</v>
      </c>
      <c r="AA1091" s="77">
        <f>SUM(V1091:Z1091)</f>
        <v>240660774</v>
      </c>
    </row>
    <row r="1092" spans="22:27">
      <c r="V1092" s="77">
        <v>70996502</v>
      </c>
      <c r="Z1092" s="77">
        <v>50706233</v>
      </c>
      <c r="AA1092" s="77">
        <f>SUM(V1092:Z1092)</f>
        <v>121702735</v>
      </c>
    </row>
    <row r="1094" spans="22:27">
      <c r="V1094" s="77">
        <f>SUM(V1089:V1092)</f>
        <v>215573311</v>
      </c>
      <c r="Z1094" s="77">
        <f>SUM(Z1089:Z1092)</f>
        <v>252975692</v>
      </c>
      <c r="AA1094" s="77">
        <f>SUM(AA1089:AA1092)</f>
        <v>468549003</v>
      </c>
    </row>
    <row r="1097" spans="22:27">
      <c r="V1097" s="77">
        <f>V1076+V1085+V1094</f>
        <v>1904626890</v>
      </c>
      <c r="Z1097" s="77">
        <f>Z1076+Z1085+Z1094</f>
        <v>1981614718</v>
      </c>
      <c r="AA1097" s="77">
        <f>AA1076+AA1085+AA1094</f>
        <v>3886241608</v>
      </c>
    </row>
  </sheetData>
  <mergeCells count="4">
    <mergeCell ref="B352:L352"/>
    <mergeCell ref="A353:M353"/>
    <mergeCell ref="B691:L691"/>
    <mergeCell ref="A692:M692"/>
  </mergeCells>
  <phoneticPr fontId="0" type="noConversion"/>
  <pageMargins left="0.84" right="0.16" top="1.08" bottom="0.83" header="0.5" footer="0.83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M1253"/>
  <sheetViews>
    <sheetView topLeftCell="A1232" zoomScale="98" zoomScaleNormal="98" workbookViewId="0">
      <selection activeCell="D1259" sqref="D1259"/>
    </sheetView>
  </sheetViews>
  <sheetFormatPr defaultRowHeight="12.75"/>
  <cols>
    <col min="1" max="1" width="49.42578125" style="46" customWidth="1"/>
    <col min="2" max="2" width="20.7109375" style="117" customWidth="1"/>
    <col min="3" max="3" width="20.140625" style="117" customWidth="1"/>
    <col min="4" max="4" width="18.7109375" style="117" customWidth="1"/>
    <col min="5" max="5" width="21.42578125" style="117" customWidth="1"/>
    <col min="6" max="6" width="21.85546875" style="117" customWidth="1"/>
    <col min="7" max="7" width="27" style="117" customWidth="1"/>
    <col min="8" max="8" width="19.5703125" style="117" customWidth="1"/>
    <col min="9" max="9" width="27.28515625" style="117" customWidth="1"/>
    <col min="10" max="10" width="20.28515625" style="117" customWidth="1"/>
    <col min="11" max="18" width="21.28515625" style="117" customWidth="1"/>
    <col min="19" max="19" width="17.28515625" style="117" customWidth="1"/>
    <col min="20" max="20" width="14.5703125" style="117" customWidth="1"/>
    <col min="21" max="21" width="22.42578125" style="117" customWidth="1"/>
    <col min="22" max="23" width="22.7109375" style="117" customWidth="1"/>
    <col min="24" max="24" width="19.140625" style="46" customWidth="1"/>
    <col min="25" max="25" width="18.5703125" style="46" customWidth="1"/>
    <col min="26" max="26" width="17.5703125" style="46" customWidth="1"/>
    <col min="27" max="27" width="18.5703125" style="46" customWidth="1"/>
    <col min="28" max="28" width="18.42578125" style="46" customWidth="1"/>
    <col min="29" max="29" width="18.28515625" style="46" customWidth="1"/>
    <col min="30" max="30" width="21.5703125" style="117" customWidth="1"/>
    <col min="31" max="32" width="21.85546875" style="117" customWidth="1"/>
    <col min="33" max="33" width="22.42578125" style="46" customWidth="1"/>
    <col min="34" max="34" width="22.28515625" style="117" customWidth="1"/>
    <col min="35" max="35" width="18.5703125" style="46" customWidth="1"/>
    <col min="36" max="36" width="24.140625" style="46" customWidth="1"/>
    <col min="37" max="37" width="22.85546875" style="46" customWidth="1"/>
    <col min="38" max="38" width="14.5703125" style="46" bestFit="1" customWidth="1"/>
    <col min="39" max="39" width="14.140625" style="46" bestFit="1" customWidth="1"/>
    <col min="40" max="40" width="12.42578125" style="46" bestFit="1" customWidth="1"/>
    <col min="41" max="16384" width="9.140625" style="46"/>
  </cols>
  <sheetData>
    <row r="1" spans="1:26" s="46" customForma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6" s="46" customForma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6" s="46" customFormat="1" ht="15.75">
      <c r="A3" s="108" t="s">
        <v>310</v>
      </c>
      <c r="B3" s="12"/>
      <c r="C3" s="13"/>
      <c r="D3" s="36" t="s">
        <v>925</v>
      </c>
      <c r="F3" s="36"/>
      <c r="G3" s="36"/>
      <c r="H3" s="12"/>
      <c r="L3" s="108" t="s">
        <v>1020</v>
      </c>
      <c r="M3" s="12"/>
      <c r="N3" s="13"/>
      <c r="O3" s="36" t="s">
        <v>925</v>
      </c>
    </row>
    <row r="4" spans="1:26" s="46" customFormat="1">
      <c r="A4" s="16"/>
      <c r="B4" s="15"/>
      <c r="C4" s="12"/>
      <c r="D4" s="12"/>
      <c r="F4" s="12"/>
      <c r="G4" s="12"/>
      <c r="H4" s="12"/>
      <c r="I4" s="46" t="s">
        <v>391</v>
      </c>
      <c r="J4" s="46" t="s">
        <v>391</v>
      </c>
      <c r="K4" s="46" t="s">
        <v>391</v>
      </c>
      <c r="L4" s="46" t="s">
        <v>391</v>
      </c>
      <c r="M4" s="46" t="s">
        <v>391</v>
      </c>
      <c r="N4" s="46" t="s">
        <v>391</v>
      </c>
      <c r="O4" s="46" t="s">
        <v>391</v>
      </c>
      <c r="P4" s="46" t="s">
        <v>391</v>
      </c>
      <c r="S4" s="46" t="s">
        <v>391</v>
      </c>
      <c r="T4" s="46" t="s">
        <v>391</v>
      </c>
      <c r="U4" s="46" t="s">
        <v>391</v>
      </c>
      <c r="V4" s="46" t="s">
        <v>391</v>
      </c>
      <c r="W4" s="46" t="s">
        <v>391</v>
      </c>
      <c r="X4" s="46" t="s">
        <v>391</v>
      </c>
    </row>
    <row r="5" spans="1:26" s="46" customFormat="1">
      <c r="A5" s="16" t="s">
        <v>536</v>
      </c>
      <c r="B5" s="16"/>
      <c r="C5" s="74" t="s">
        <v>542</v>
      </c>
      <c r="D5" s="74" t="s">
        <v>543</v>
      </c>
      <c r="F5" s="74"/>
      <c r="G5" s="74"/>
      <c r="H5" s="12"/>
      <c r="I5" s="109" t="s">
        <v>249</v>
      </c>
      <c r="J5" s="109" t="s">
        <v>138</v>
      </c>
      <c r="K5" s="109" t="s">
        <v>437</v>
      </c>
      <c r="L5" s="109" t="s">
        <v>21</v>
      </c>
      <c r="M5" s="109" t="s">
        <v>561</v>
      </c>
      <c r="N5" s="109" t="s">
        <v>594</v>
      </c>
      <c r="O5" s="109" t="s">
        <v>560</v>
      </c>
      <c r="P5" s="109" t="s">
        <v>250</v>
      </c>
      <c r="Q5" s="110" t="s">
        <v>255</v>
      </c>
      <c r="R5" s="110" t="s">
        <v>68</v>
      </c>
      <c r="S5" s="110" t="s">
        <v>23</v>
      </c>
      <c r="T5" s="110" t="s">
        <v>20</v>
      </c>
      <c r="U5" s="109" t="s">
        <v>18</v>
      </c>
      <c r="V5" s="109" t="s">
        <v>256</v>
      </c>
      <c r="W5" s="110" t="s">
        <v>257</v>
      </c>
      <c r="X5" s="109" t="s">
        <v>535</v>
      </c>
      <c r="Y5" s="109" t="s">
        <v>33</v>
      </c>
      <c r="Z5" s="111" t="s">
        <v>611</v>
      </c>
    </row>
    <row r="6" spans="1:26" s="46" customFormat="1">
      <c r="A6" s="16"/>
      <c r="B6" s="16"/>
      <c r="C6" s="74" t="s">
        <v>83</v>
      </c>
      <c r="D6" s="74" t="s">
        <v>537</v>
      </c>
      <c r="F6" s="74"/>
      <c r="G6" s="74"/>
      <c r="H6" s="12"/>
      <c r="I6" s="41"/>
      <c r="J6" s="41"/>
      <c r="K6" s="41"/>
      <c r="L6" s="41"/>
      <c r="M6" s="41"/>
      <c r="N6" s="41"/>
      <c r="O6" s="41"/>
      <c r="P6" s="41"/>
      <c r="Q6" s="112" t="s">
        <v>259</v>
      </c>
      <c r="R6" s="112" t="s">
        <v>259</v>
      </c>
      <c r="S6" s="42"/>
      <c r="T6" s="42"/>
      <c r="U6" s="41"/>
      <c r="V6" s="113" t="s">
        <v>22</v>
      </c>
      <c r="W6" s="42"/>
      <c r="X6" s="41"/>
      <c r="Y6" s="41"/>
      <c r="Z6" s="42"/>
    </row>
    <row r="7" spans="1:26" s="46" customFormat="1">
      <c r="A7" s="13"/>
      <c r="B7" s="13"/>
      <c r="C7" s="75"/>
      <c r="D7" s="75"/>
      <c r="F7" s="75"/>
      <c r="G7" s="75"/>
      <c r="H7" s="12"/>
    </row>
    <row r="8" spans="1:26" s="46" customFormat="1">
      <c r="A8" s="24" t="s">
        <v>139</v>
      </c>
      <c r="B8" s="24"/>
      <c r="C8" s="12">
        <f>+Z8</f>
        <v>4125669052.6699996</v>
      </c>
      <c r="D8" s="12">
        <v>3630995913.29</v>
      </c>
      <c r="F8" s="12"/>
      <c r="G8" s="12"/>
      <c r="H8" s="12"/>
      <c r="I8" s="12">
        <v>414378253.82999998</v>
      </c>
      <c r="J8" s="12">
        <v>52434884</v>
      </c>
      <c r="K8" s="12">
        <v>566398854.01999998</v>
      </c>
      <c r="L8" s="12">
        <v>283352985.41000003</v>
      </c>
      <c r="M8" s="12">
        <v>11385183.699999999</v>
      </c>
      <c r="N8" s="12">
        <v>134761659.34</v>
      </c>
      <c r="O8" s="12">
        <v>25784390</v>
      </c>
      <c r="P8" s="12">
        <v>237483950.47999999</v>
      </c>
      <c r="Q8" s="12"/>
      <c r="R8" s="12"/>
      <c r="S8" s="12">
        <v>287473461.88999999</v>
      </c>
      <c r="T8" s="12">
        <v>317075922.28999996</v>
      </c>
      <c r="U8" s="12">
        <v>452187827</v>
      </c>
      <c r="V8" s="12">
        <v>477214884.26999998</v>
      </c>
      <c r="W8" s="12">
        <v>673182593.54999995</v>
      </c>
      <c r="X8" s="12">
        <v>192554202.89000002</v>
      </c>
      <c r="Y8" s="12"/>
      <c r="Z8" s="12">
        <f>SUM(I8:X8)</f>
        <v>4125669052.6699996</v>
      </c>
    </row>
    <row r="9" spans="1:26" s="46" customFormat="1">
      <c r="A9" s="24"/>
      <c r="B9" s="24"/>
      <c r="C9" s="12"/>
      <c r="D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46" customFormat="1">
      <c r="A10" s="24" t="s">
        <v>140</v>
      </c>
      <c r="B10" s="24" t="s">
        <v>544</v>
      </c>
      <c r="C10" s="12">
        <f>Z10</f>
        <v>208404782.24000001</v>
      </c>
      <c r="D10" s="12">
        <v>332513997.82999998</v>
      </c>
      <c r="F10" s="12"/>
      <c r="G10" s="12"/>
      <c r="H10" s="12"/>
      <c r="I10" s="12">
        <v>5024291</v>
      </c>
      <c r="J10" s="12"/>
      <c r="K10" s="12">
        <v>2547650</v>
      </c>
      <c r="L10" s="12">
        <v>1848427</v>
      </c>
      <c r="M10" s="12">
        <v>1021084</v>
      </c>
      <c r="N10" s="12">
        <v>408641</v>
      </c>
      <c r="O10" s="12">
        <v>1567344</v>
      </c>
      <c r="P10" s="12">
        <f>1359118</f>
        <v>1359118</v>
      </c>
      <c r="Q10" s="12"/>
      <c r="R10" s="12"/>
      <c r="S10" s="12">
        <v>869155</v>
      </c>
      <c r="T10" s="12">
        <v>4486538</v>
      </c>
      <c r="U10" s="12">
        <f>1293189</f>
        <v>1293189</v>
      </c>
      <c r="V10" s="12">
        <f>3265173</f>
        <v>3265173</v>
      </c>
      <c r="W10" s="12">
        <v>179352528.24000001</v>
      </c>
      <c r="X10" s="12">
        <v>5164769</v>
      </c>
      <c r="Y10" s="12">
        <f>2374904-2178029</f>
        <v>196875</v>
      </c>
      <c r="Z10" s="12">
        <f>SUM(I10:Y10)</f>
        <v>208404782.24000001</v>
      </c>
    </row>
    <row r="11" spans="1:26" s="46" customFormat="1">
      <c r="A11" s="24"/>
      <c r="B11" s="24"/>
      <c r="C11" s="12"/>
      <c r="D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46" customFormat="1">
      <c r="A12" s="24" t="s">
        <v>728</v>
      </c>
      <c r="B12" s="24"/>
      <c r="C12" s="12">
        <f>Z12</f>
        <v>5369180</v>
      </c>
      <c r="D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>
        <v>424640</v>
      </c>
      <c r="Q12" s="12"/>
      <c r="R12" s="12"/>
      <c r="S12" s="12"/>
      <c r="T12" s="12"/>
      <c r="U12" s="12">
        <v>111881</v>
      </c>
      <c r="V12" s="12">
        <v>2654630</v>
      </c>
      <c r="W12" s="12"/>
      <c r="X12" s="12"/>
      <c r="Y12" s="12">
        <v>2178029</v>
      </c>
      <c r="Z12" s="12">
        <f>SUM(I12:Y12)</f>
        <v>5369180</v>
      </c>
    </row>
    <row r="13" spans="1:26" s="46" customFormat="1">
      <c r="A13" s="24"/>
      <c r="B13" s="24"/>
      <c r="C13" s="12"/>
      <c r="D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46" customFormat="1">
      <c r="A14" s="24" t="s">
        <v>141</v>
      </c>
      <c r="B14" s="24"/>
      <c r="C14" s="12">
        <f>Z14</f>
        <v>0</v>
      </c>
      <c r="D14" s="12">
        <v>10150043</v>
      </c>
      <c r="F14" s="12"/>
      <c r="G14" s="12"/>
      <c r="H14" s="12"/>
      <c r="I14" s="12"/>
      <c r="J14" s="12"/>
      <c r="K14" s="12"/>
      <c r="L14" s="12">
        <v>0</v>
      </c>
      <c r="M14" s="12"/>
      <c r="N14" s="12"/>
      <c r="O14" s="12">
        <v>0</v>
      </c>
      <c r="P14" s="12"/>
      <c r="Q14" s="12"/>
      <c r="R14" s="12"/>
      <c r="S14" s="12"/>
      <c r="T14" s="12"/>
      <c r="U14" s="12">
        <v>0</v>
      </c>
      <c r="V14" s="12"/>
      <c r="W14" s="12"/>
      <c r="X14" s="12">
        <v>0</v>
      </c>
      <c r="Y14" s="12"/>
      <c r="Z14" s="12">
        <f>SUM(I14:X14)</f>
        <v>0</v>
      </c>
    </row>
    <row r="15" spans="1:26" s="46" customFormat="1">
      <c r="A15" s="24"/>
      <c r="B15" s="24"/>
      <c r="C15" s="12"/>
      <c r="D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46" customFormat="1">
      <c r="A16" s="24" t="s">
        <v>142</v>
      </c>
      <c r="B16" s="24"/>
      <c r="C16" s="12">
        <f>Z16</f>
        <v>0</v>
      </c>
      <c r="D16" s="12">
        <v>10047987.699999999</v>
      </c>
      <c r="F16" s="12"/>
      <c r="G16" s="12"/>
      <c r="H16" s="12"/>
      <c r="I16" s="12"/>
      <c r="J16" s="12"/>
      <c r="K16" s="12"/>
      <c r="L16" s="12"/>
      <c r="M16" s="12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>
        <f>SUM(I16:X16)</f>
        <v>0</v>
      </c>
    </row>
    <row r="17" spans="1:26" s="46" customFormat="1">
      <c r="A17" s="24"/>
      <c r="B17" s="24" t="s">
        <v>544</v>
      </c>
      <c r="C17" s="12"/>
      <c r="D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46" customFormat="1">
      <c r="A18" s="24" t="s">
        <v>143</v>
      </c>
      <c r="B18" s="24"/>
      <c r="C18" s="12">
        <f>Z20</f>
        <v>0</v>
      </c>
      <c r="D18" s="12">
        <v>-9343092</v>
      </c>
      <c r="F18" s="12"/>
      <c r="G18" s="12"/>
      <c r="H18" s="12"/>
      <c r="I18" s="12">
        <v>0</v>
      </c>
      <c r="J18" s="12"/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/>
      <c r="R18" s="12"/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/>
      <c r="Z18" s="12">
        <f>SUM(I18:X18)</f>
        <v>0</v>
      </c>
    </row>
    <row r="19" spans="1:26" s="46" customFormat="1">
      <c r="A19" s="24"/>
      <c r="B19" s="24"/>
      <c r="C19" s="12"/>
      <c r="D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46" customFormat="1">
      <c r="A20" s="24" t="s">
        <v>144</v>
      </c>
      <c r="B20" s="24"/>
      <c r="C20" s="12">
        <f>Z22</f>
        <v>0</v>
      </c>
      <c r="D20" s="12">
        <v>-806951</v>
      </c>
      <c r="F20" s="12"/>
      <c r="G20" s="12"/>
      <c r="H20" s="12"/>
      <c r="I20" s="12"/>
      <c r="J20" s="12"/>
      <c r="K20" s="12"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>
        <f>SUM(I20:X20)</f>
        <v>0</v>
      </c>
    </row>
    <row r="21" spans="1:26" s="46" customFormat="1">
      <c r="A21" s="24"/>
      <c r="B21" s="24"/>
      <c r="C21" s="12"/>
      <c r="D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46" customFormat="1">
      <c r="A22" s="24" t="s">
        <v>145</v>
      </c>
      <c r="B22" s="24"/>
      <c r="C22" s="12">
        <f>Z24</f>
        <v>0</v>
      </c>
      <c r="D22" s="12">
        <v>-112015.45</v>
      </c>
      <c r="F22" s="12"/>
      <c r="G22" s="12"/>
      <c r="H22" s="12"/>
      <c r="I22" s="12">
        <v>0</v>
      </c>
      <c r="J22" s="12"/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/>
      <c r="R22" s="12"/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/>
      <c r="Z22" s="12">
        <f>SUM(I22:X22)</f>
        <v>0</v>
      </c>
    </row>
    <row r="23" spans="1:26" s="46" customFormat="1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46" customFormat="1">
      <c r="A24" s="24" t="s">
        <v>146</v>
      </c>
      <c r="B24" s="24"/>
      <c r="C24" s="12">
        <f>Z28</f>
        <v>0</v>
      </c>
      <c r="D24" s="12">
        <v>2701952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>
        <v>0</v>
      </c>
      <c r="Y24" s="12"/>
      <c r="Z24" s="12">
        <f>SUM(I24:X24)</f>
        <v>0</v>
      </c>
    </row>
    <row r="25" spans="1:26" s="46" customFormat="1">
      <c r="A25" s="24"/>
      <c r="B25" s="24"/>
      <c r="C25" s="12"/>
      <c r="D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46" customFormat="1">
      <c r="A26" s="155" t="s">
        <v>147</v>
      </c>
      <c r="B26" s="24"/>
      <c r="C26" s="12">
        <f>Z32</f>
        <v>0</v>
      </c>
      <c r="D26" s="12">
        <v>-2701952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>
        <f>SUM(I26:X26)</f>
        <v>0</v>
      </c>
    </row>
    <row r="27" spans="1:26" s="46" customFormat="1">
      <c r="A27" s="24"/>
      <c r="B27" s="24"/>
      <c r="C27" s="12"/>
      <c r="D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46" customFormat="1">
      <c r="A28" s="24" t="s">
        <v>148</v>
      </c>
      <c r="B28" s="24"/>
      <c r="C28" s="12">
        <f>Z34</f>
        <v>0</v>
      </c>
      <c r="D28" s="12">
        <v>-10047987.699999999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>
        <v>0</v>
      </c>
      <c r="Y28" s="12"/>
      <c r="Z28" s="12">
        <f>SUM(I28:X28)</f>
        <v>0</v>
      </c>
    </row>
    <row r="29" spans="1:26" s="46" customFormat="1">
      <c r="A29" s="24"/>
      <c r="B29" s="24"/>
      <c r="C29" s="12"/>
      <c r="D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46" customFormat="1">
      <c r="A30" s="24" t="s">
        <v>149</v>
      </c>
      <c r="B30" s="24" t="s">
        <v>544</v>
      </c>
      <c r="C30" s="12">
        <f>Z36</f>
        <v>-212541298</v>
      </c>
      <c r="D30" s="12">
        <v>-178344793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0</v>
      </c>
      <c r="T30" s="12"/>
      <c r="U30" s="12"/>
      <c r="V30" s="12"/>
      <c r="W30" s="12"/>
      <c r="X30" s="12"/>
      <c r="Y30" s="12"/>
      <c r="Z30" s="12">
        <f>SUM(I30:X30)</f>
        <v>0</v>
      </c>
    </row>
    <row r="31" spans="1:26" s="46" customFormat="1">
      <c r="A31" s="24"/>
      <c r="B31" s="24"/>
      <c r="C31" s="12"/>
      <c r="D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46" customFormat="1">
      <c r="A32" s="24" t="s">
        <v>639</v>
      </c>
      <c r="B32" s="24"/>
      <c r="C32" s="12">
        <f>Z38</f>
        <v>4950665</v>
      </c>
      <c r="D32" s="12"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>
        <v>0</v>
      </c>
      <c r="Y32" s="12"/>
      <c r="Z32" s="12">
        <f>SUM(I32:X32)</f>
        <v>0</v>
      </c>
    </row>
    <row r="33" spans="1:35">
      <c r="A33" s="24" t="s">
        <v>544</v>
      </c>
      <c r="B33" s="24" t="s">
        <v>544</v>
      </c>
      <c r="C33" s="12"/>
      <c r="D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H33" s="46"/>
    </row>
    <row r="34" spans="1:35">
      <c r="A34" s="24" t="s">
        <v>150</v>
      </c>
      <c r="B34" s="24" t="s">
        <v>544</v>
      </c>
      <c r="C34" s="12">
        <f>Z40</f>
        <v>676816098</v>
      </c>
      <c r="D34" s="12">
        <v>340615950</v>
      </c>
      <c r="F34" s="12"/>
      <c r="G34" s="12"/>
      <c r="H34" s="12"/>
      <c r="I34" s="12"/>
      <c r="J34" s="12"/>
      <c r="K34" s="12"/>
      <c r="L34" s="12">
        <v>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>
        <f>SUM(I34:X34)</f>
        <v>0</v>
      </c>
      <c r="AH34" s="46"/>
    </row>
    <row r="35" spans="1:35">
      <c r="A35" s="24"/>
      <c r="B35" s="24"/>
      <c r="C35" s="12"/>
      <c r="D35" s="2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H35" s="46"/>
    </row>
    <row r="36" spans="1:35" ht="13.5" thickBot="1">
      <c r="A36" s="60" t="s">
        <v>151</v>
      </c>
      <c r="B36" s="12"/>
      <c r="C36" s="114">
        <f>SUM(C8:C34)</f>
        <v>4808668479.9099998</v>
      </c>
      <c r="D36" s="27">
        <f>SUM(D8:D34)</f>
        <v>4125669052.6700001</v>
      </c>
      <c r="F36" s="12"/>
      <c r="G36" s="12"/>
      <c r="H36" s="12"/>
      <c r="I36" s="12">
        <v>-17351444</v>
      </c>
      <c r="J36" s="12"/>
      <c r="K36" s="12">
        <v>-5405866</v>
      </c>
      <c r="L36" s="12">
        <v>-2921228</v>
      </c>
      <c r="M36" s="12">
        <v>-1518712</v>
      </c>
      <c r="N36" s="12">
        <v>-3869699</v>
      </c>
      <c r="O36" s="12">
        <v>-1625891</v>
      </c>
      <c r="P36" s="12">
        <v>-7963902</v>
      </c>
      <c r="Q36" s="12"/>
      <c r="R36" s="12"/>
      <c r="S36" s="12">
        <v>-8400546</v>
      </c>
      <c r="T36" s="12">
        <v>-6127679</v>
      </c>
      <c r="U36" s="12">
        <v>-9319787</v>
      </c>
      <c r="V36" s="12">
        <v>-12214800</v>
      </c>
      <c r="W36" s="12">
        <v>-127029854</v>
      </c>
      <c r="X36" s="12">
        <v>-8435654</v>
      </c>
      <c r="Y36" s="12">
        <v>-356236</v>
      </c>
      <c r="Z36" s="12">
        <f>SUM(I36:Y36)</f>
        <v>-212541298</v>
      </c>
      <c r="AH36" s="46"/>
    </row>
    <row r="37" spans="1:35" ht="13.5" thickTop="1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H37" s="46"/>
    </row>
    <row r="38" spans="1:35">
      <c r="F38" s="12"/>
      <c r="G38" s="12"/>
      <c r="H38" s="12"/>
      <c r="I38" s="12"/>
      <c r="J38" s="12"/>
      <c r="K38" s="12"/>
      <c r="L38" s="12">
        <v>4950665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>
        <f>SUM(I38:X38)</f>
        <v>4950665</v>
      </c>
      <c r="AH38" s="46"/>
    </row>
    <row r="39" spans="1:35"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H39" s="46"/>
    </row>
    <row r="40" spans="1:35">
      <c r="F40" s="12"/>
      <c r="G40" s="12"/>
      <c r="H40" s="12"/>
      <c r="I40" s="12">
        <v>110652500</v>
      </c>
      <c r="J40" s="12"/>
      <c r="K40" s="12">
        <v>50182000</v>
      </c>
      <c r="L40" s="12">
        <v>71865427</v>
      </c>
      <c r="M40" s="12"/>
      <c r="N40" s="12"/>
      <c r="O40" s="12">
        <v>26463000</v>
      </c>
      <c r="P40" s="12">
        <v>11602000</v>
      </c>
      <c r="Q40" s="12"/>
      <c r="R40" s="12"/>
      <c r="S40" s="12">
        <v>70051000</v>
      </c>
      <c r="T40" s="12">
        <v>60871271</v>
      </c>
      <c r="U40" s="12">
        <v>71974000</v>
      </c>
      <c r="V40" s="12">
        <v>160813700</v>
      </c>
      <c r="W40" s="12"/>
      <c r="X40" s="12">
        <v>42341200</v>
      </c>
      <c r="Y40" s="12"/>
      <c r="Z40" s="12">
        <f>SUM(I40:X40)</f>
        <v>676816098</v>
      </c>
      <c r="AH40" s="46"/>
    </row>
    <row r="41" spans="1:35">
      <c r="F41" s="24"/>
      <c r="G41" s="2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H41" s="46"/>
    </row>
    <row r="42" spans="1:35">
      <c r="F42" s="101"/>
      <c r="G42" s="101"/>
      <c r="H42" s="12"/>
      <c r="I42" s="12">
        <f>SUM(I8:I41)</f>
        <v>512703600.82999998</v>
      </c>
      <c r="J42" s="12">
        <f>SUM(J8:J41)</f>
        <v>52434884</v>
      </c>
      <c r="K42" s="12">
        <f t="shared" ref="K42:P42" si="0">SUM(K8:K41)</f>
        <v>613722638.01999998</v>
      </c>
      <c r="L42" s="12">
        <f t="shared" si="0"/>
        <v>359096276.41000003</v>
      </c>
      <c r="M42" s="12">
        <f t="shared" si="0"/>
        <v>10887555.699999999</v>
      </c>
      <c r="N42" s="12">
        <f t="shared" si="0"/>
        <v>131300601.34</v>
      </c>
      <c r="O42" s="12">
        <f t="shared" si="0"/>
        <v>52188843</v>
      </c>
      <c r="P42" s="12">
        <f t="shared" si="0"/>
        <v>242905806.47999999</v>
      </c>
      <c r="Q42" s="12"/>
      <c r="R42" s="12"/>
      <c r="S42" s="12">
        <f t="shared" ref="S42:Y42" si="1">SUM(S8:S41)</f>
        <v>349993070.88999999</v>
      </c>
      <c r="T42" s="12">
        <f t="shared" si="1"/>
        <v>376306052.28999996</v>
      </c>
      <c r="U42" s="12">
        <f t="shared" si="1"/>
        <v>516247110</v>
      </c>
      <c r="V42" s="12">
        <f t="shared" si="1"/>
        <v>631733587.26999998</v>
      </c>
      <c r="W42" s="12">
        <f t="shared" si="1"/>
        <v>725505267.78999996</v>
      </c>
      <c r="X42" s="12">
        <f t="shared" si="1"/>
        <v>231624517.89000002</v>
      </c>
      <c r="Y42" s="12">
        <f t="shared" si="1"/>
        <v>2018668</v>
      </c>
      <c r="Z42" s="12">
        <f>SUM(I42:Y42)</f>
        <v>4808668479.9100008</v>
      </c>
      <c r="AH42" s="46"/>
      <c r="AI42" s="46" t="s">
        <v>544</v>
      </c>
    </row>
    <row r="43" spans="1:35">
      <c r="A43" s="30"/>
      <c r="B43" s="30"/>
      <c r="C43" s="33" t="s">
        <v>544</v>
      </c>
      <c r="D43" s="33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15"/>
      <c r="T43" s="30"/>
      <c r="U43" s="30"/>
      <c r="V43" s="46"/>
      <c r="W43" s="18"/>
      <c r="AD43" s="46"/>
      <c r="AE43" s="46"/>
      <c r="AF43" s="46"/>
      <c r="AG43" s="116" t="s">
        <v>544</v>
      </c>
      <c r="AH43" s="46"/>
    </row>
    <row r="44" spans="1:35">
      <c r="A44" s="30"/>
      <c r="B44" s="30"/>
      <c r="C44" s="33"/>
      <c r="D44" s="33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 t="s">
        <v>544</v>
      </c>
      <c r="V44" s="46"/>
      <c r="W44" s="46"/>
      <c r="AC44" s="18"/>
      <c r="AD44" s="46"/>
      <c r="AE44" s="46"/>
      <c r="AF44" s="46"/>
      <c r="AH44" s="46"/>
    </row>
    <row r="45" spans="1:3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46"/>
      <c r="W45" s="46"/>
      <c r="AD45" s="46"/>
      <c r="AE45" s="46"/>
      <c r="AF45" s="46"/>
      <c r="AH45" s="46"/>
    </row>
    <row r="46" spans="1:3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46"/>
      <c r="W46" s="46"/>
      <c r="AD46" s="46"/>
      <c r="AE46" s="46"/>
      <c r="AF46" s="46"/>
      <c r="AH46" s="46"/>
    </row>
    <row r="47" spans="1:35" ht="19.5">
      <c r="A47" s="117"/>
      <c r="G47" s="46"/>
      <c r="H47" s="46"/>
      <c r="I47" s="46"/>
      <c r="J47" s="118" t="s">
        <v>925</v>
      </c>
      <c r="K47" s="46"/>
      <c r="AE47" s="46"/>
      <c r="AF47" s="46"/>
      <c r="AH47" s="46"/>
    </row>
    <row r="48" spans="1:35" ht="15.75">
      <c r="A48" s="119" t="s">
        <v>435</v>
      </c>
      <c r="B48" s="119"/>
      <c r="C48" s="119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AE48" s="46"/>
      <c r="AF48" s="46"/>
      <c r="AH48" s="46"/>
    </row>
    <row r="49" spans="1:34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46"/>
      <c r="AF49" s="46"/>
      <c r="AH49" s="46"/>
    </row>
    <row r="50" spans="1:34">
      <c r="A50" s="120" t="s">
        <v>311</v>
      </c>
      <c r="B50" s="121" t="s">
        <v>419</v>
      </c>
      <c r="C50" s="121" t="s">
        <v>252</v>
      </c>
      <c r="D50" s="113" t="s">
        <v>314</v>
      </c>
      <c r="E50" s="121" t="s">
        <v>269</v>
      </c>
      <c r="F50" s="123" t="s">
        <v>313</v>
      </c>
      <c r="G50" s="124" t="s">
        <v>314</v>
      </c>
      <c r="H50" s="124" t="s">
        <v>314</v>
      </c>
      <c r="I50" s="123" t="s">
        <v>316</v>
      </c>
      <c r="J50" s="123" t="s">
        <v>315</v>
      </c>
      <c r="K50" s="123" t="s">
        <v>544</v>
      </c>
      <c r="L50" s="123" t="s">
        <v>544</v>
      </c>
      <c r="AE50" s="46"/>
      <c r="AF50" s="46"/>
      <c r="AH50" s="46"/>
    </row>
    <row r="51" spans="1:34">
      <c r="A51" s="106"/>
      <c r="B51" s="121" t="s">
        <v>434</v>
      </c>
      <c r="C51" s="121" t="s">
        <v>731</v>
      </c>
      <c r="D51" s="113" t="s">
        <v>729</v>
      </c>
      <c r="E51" s="121" t="s">
        <v>317</v>
      </c>
      <c r="F51" s="122" t="s">
        <v>544</v>
      </c>
      <c r="G51" s="125" t="s">
        <v>318</v>
      </c>
      <c r="H51" s="125" t="s">
        <v>318</v>
      </c>
      <c r="I51" s="122" t="s">
        <v>320</v>
      </c>
      <c r="J51" s="122" t="s">
        <v>321</v>
      </c>
      <c r="K51" s="122" t="s">
        <v>544</v>
      </c>
      <c r="L51" s="126" t="s">
        <v>544</v>
      </c>
      <c r="AE51" s="46"/>
      <c r="AF51" s="46"/>
      <c r="AH51" s="46"/>
    </row>
    <row r="52" spans="1:34">
      <c r="A52" s="106"/>
      <c r="B52" s="106"/>
      <c r="C52" s="106"/>
      <c r="D52" s="127" t="s">
        <v>730</v>
      </c>
      <c r="E52" s="128" t="s">
        <v>322</v>
      </c>
      <c r="F52" s="122" t="s">
        <v>544</v>
      </c>
      <c r="G52" s="125" t="s">
        <v>323</v>
      </c>
      <c r="H52" s="125" t="s">
        <v>323</v>
      </c>
      <c r="I52" s="122" t="s">
        <v>324</v>
      </c>
      <c r="J52" s="122" t="s">
        <v>121</v>
      </c>
      <c r="K52" s="122" t="s">
        <v>544</v>
      </c>
      <c r="L52" s="122"/>
      <c r="AE52" s="46"/>
      <c r="AF52" s="46"/>
      <c r="AH52" s="46"/>
    </row>
    <row r="53" spans="1:34">
      <c r="A53" s="106"/>
      <c r="B53" s="106"/>
      <c r="C53" s="106"/>
      <c r="E53" s="128" t="s">
        <v>302</v>
      </c>
      <c r="F53" s="106"/>
      <c r="G53" s="106"/>
      <c r="H53" s="106"/>
      <c r="I53" s="122" t="s">
        <v>5</v>
      </c>
      <c r="J53" s="106"/>
      <c r="K53" s="122" t="s">
        <v>544</v>
      </c>
      <c r="L53" s="122"/>
      <c r="AE53" s="46"/>
      <c r="AF53" s="46"/>
      <c r="AH53" s="46"/>
    </row>
    <row r="54" spans="1:34">
      <c r="A54" s="129" t="s">
        <v>544</v>
      </c>
      <c r="B54" s="106"/>
      <c r="C54" s="106"/>
      <c r="E54" s="106"/>
      <c r="F54" s="106"/>
      <c r="G54" s="106"/>
      <c r="H54" s="106"/>
      <c r="I54" s="106"/>
      <c r="J54" s="106"/>
      <c r="K54" s="106"/>
      <c r="L54" s="106"/>
      <c r="AE54" s="46"/>
      <c r="AF54" s="46"/>
      <c r="AH54" s="46"/>
    </row>
    <row r="55" spans="1:34">
      <c r="A55" s="130" t="s">
        <v>344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AE55" s="46"/>
      <c r="AF55" s="46"/>
      <c r="AH55" s="46"/>
    </row>
    <row r="56" spans="1:34">
      <c r="A56" s="106" t="s">
        <v>326</v>
      </c>
      <c r="B56" s="12">
        <v>98366512.569999993</v>
      </c>
      <c r="C56" s="14"/>
      <c r="D56" s="14"/>
      <c r="E56" s="14"/>
      <c r="F56" s="14">
        <v>-9836651</v>
      </c>
      <c r="G56" s="14"/>
      <c r="H56" s="14"/>
      <c r="I56" s="14"/>
      <c r="J56" s="13">
        <f t="shared" ref="J56:J63" si="2">SUM(B56:I56)</f>
        <v>88529861.569999993</v>
      </c>
      <c r="K56" s="14"/>
      <c r="L56" s="14"/>
      <c r="AE56" s="46"/>
      <c r="AF56" s="46"/>
      <c r="AH56" s="46"/>
    </row>
    <row r="57" spans="1:34">
      <c r="A57" s="106" t="s">
        <v>278</v>
      </c>
      <c r="B57" s="12">
        <v>82977592.709999993</v>
      </c>
      <c r="C57" s="14"/>
      <c r="D57" s="14"/>
      <c r="E57" s="14"/>
      <c r="F57" s="14">
        <f>-8276508-21251</f>
        <v>-8297759</v>
      </c>
      <c r="G57" s="14"/>
      <c r="H57" s="14"/>
      <c r="I57" s="14"/>
      <c r="J57" s="13">
        <f t="shared" si="2"/>
        <v>74679833.709999993</v>
      </c>
      <c r="K57" s="14"/>
      <c r="L57" s="14"/>
      <c r="AE57" s="46"/>
      <c r="AF57" s="46"/>
      <c r="AH57" s="46"/>
    </row>
    <row r="58" spans="1:34">
      <c r="A58" s="106" t="s">
        <v>332</v>
      </c>
      <c r="B58" s="12">
        <v>44964688</v>
      </c>
      <c r="C58" s="14"/>
      <c r="D58" s="14"/>
      <c r="E58" s="14"/>
      <c r="F58" s="14">
        <v>-4496469</v>
      </c>
      <c r="G58" s="14"/>
      <c r="H58" s="14"/>
      <c r="I58" s="14"/>
      <c r="J58" s="13">
        <f t="shared" si="2"/>
        <v>40468219</v>
      </c>
      <c r="K58" s="14"/>
      <c r="L58" s="14"/>
      <c r="AE58" s="46"/>
      <c r="AF58" s="46"/>
      <c r="AH58" s="46"/>
    </row>
    <row r="59" spans="1:34">
      <c r="A59" s="106" t="s">
        <v>334</v>
      </c>
      <c r="B59" s="12">
        <v>44767426</v>
      </c>
      <c r="C59" s="14"/>
      <c r="D59" s="14"/>
      <c r="E59" s="14"/>
      <c r="F59" s="14">
        <v>-4476743</v>
      </c>
      <c r="G59" s="14"/>
      <c r="H59" s="14"/>
      <c r="I59" s="14"/>
      <c r="J59" s="13">
        <f t="shared" si="2"/>
        <v>40290683</v>
      </c>
      <c r="K59" s="14"/>
      <c r="L59" s="14"/>
      <c r="AE59" s="46"/>
      <c r="AF59" s="46"/>
      <c r="AH59" s="46"/>
    </row>
    <row r="60" spans="1:34">
      <c r="A60" s="106" t="s">
        <v>335</v>
      </c>
      <c r="B60" s="12">
        <v>7038706.4299999997</v>
      </c>
      <c r="C60" s="14"/>
      <c r="D60" s="14"/>
      <c r="E60" s="14"/>
      <c r="F60" s="14">
        <v>-703871</v>
      </c>
      <c r="G60" s="14"/>
      <c r="H60" s="14"/>
      <c r="I60" s="14"/>
      <c r="J60" s="13">
        <f t="shared" si="2"/>
        <v>6334835.4299999997</v>
      </c>
      <c r="K60" s="14"/>
      <c r="L60" s="14"/>
      <c r="AE60" s="46"/>
      <c r="AF60" s="46"/>
      <c r="AH60" s="46"/>
    </row>
    <row r="61" spans="1:34">
      <c r="A61" s="106" t="s">
        <v>50</v>
      </c>
      <c r="B61" s="12">
        <v>58428934.549999997</v>
      </c>
      <c r="C61" s="14"/>
      <c r="D61" s="14"/>
      <c r="E61" s="14">
        <v>650880</v>
      </c>
      <c r="F61" s="14">
        <v>-5875437</v>
      </c>
      <c r="G61" s="14"/>
      <c r="H61" s="14"/>
      <c r="I61" s="14"/>
      <c r="J61" s="13">
        <f t="shared" si="2"/>
        <v>53204377.549999997</v>
      </c>
      <c r="K61" s="14"/>
      <c r="L61" s="14"/>
      <c r="AE61" s="46"/>
      <c r="AF61" s="46"/>
      <c r="AH61" s="46"/>
    </row>
    <row r="62" spans="1:34">
      <c r="A62" s="106" t="s">
        <v>330</v>
      </c>
      <c r="B62" s="12">
        <v>11466743</v>
      </c>
      <c r="C62" s="14"/>
      <c r="D62" s="14"/>
      <c r="E62" s="14"/>
      <c r="F62" s="14">
        <f>-1142616-6088</f>
        <v>-1148704</v>
      </c>
      <c r="G62" s="14"/>
      <c r="H62" s="14"/>
      <c r="I62" s="14"/>
      <c r="J62" s="13">
        <f t="shared" si="2"/>
        <v>10318039</v>
      </c>
      <c r="K62" s="14"/>
      <c r="L62" s="14"/>
      <c r="AE62" s="46"/>
      <c r="AF62" s="46"/>
      <c r="AH62" s="46"/>
    </row>
    <row r="63" spans="1:34">
      <c r="A63" s="106" t="s">
        <v>329</v>
      </c>
      <c r="B63" s="12">
        <v>888355</v>
      </c>
      <c r="C63" s="14"/>
      <c r="D63" s="14"/>
      <c r="E63" s="14"/>
      <c r="F63" s="14">
        <v>-133253</v>
      </c>
      <c r="G63" s="14"/>
      <c r="H63" s="14"/>
      <c r="I63" s="14"/>
      <c r="J63" s="13">
        <f t="shared" si="2"/>
        <v>755102</v>
      </c>
      <c r="K63" s="14"/>
      <c r="L63" s="14"/>
      <c r="AE63" s="46"/>
      <c r="AF63" s="46"/>
      <c r="AH63" s="46"/>
    </row>
    <row r="64" spans="1:34">
      <c r="A64" s="129"/>
      <c r="B64" s="106"/>
      <c r="C64" s="106"/>
      <c r="E64" s="106"/>
      <c r="F64" s="106"/>
      <c r="G64" s="106"/>
      <c r="H64" s="106"/>
      <c r="I64" s="106"/>
      <c r="J64" s="106"/>
      <c r="K64" s="106"/>
      <c r="L64" s="106"/>
      <c r="AE64" s="46"/>
      <c r="AF64" s="46"/>
      <c r="AH64" s="46"/>
    </row>
    <row r="65" spans="1:34">
      <c r="A65" s="130" t="s">
        <v>350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AE65" s="46"/>
      <c r="AF65" s="46"/>
      <c r="AH65" s="46"/>
    </row>
    <row r="66" spans="1:34">
      <c r="A66" s="106" t="s">
        <v>326</v>
      </c>
      <c r="B66" s="12">
        <v>504287.9</v>
      </c>
      <c r="C66" s="12"/>
      <c r="D66" s="12"/>
      <c r="E66" s="12"/>
      <c r="F66" s="14">
        <v>-75643</v>
      </c>
      <c r="G66" s="12"/>
      <c r="H66" s="12"/>
      <c r="I66" s="12"/>
      <c r="J66" s="13">
        <f t="shared" ref="J66:J72" si="3">SUM(B66:I66)</f>
        <v>428644.9</v>
      </c>
      <c r="K66" s="12"/>
      <c r="L66" s="12"/>
      <c r="AE66" s="46"/>
      <c r="AF66" s="46"/>
      <c r="AH66" s="46"/>
    </row>
    <row r="67" spans="1:34">
      <c r="A67" s="106" t="s">
        <v>334</v>
      </c>
      <c r="B67" s="12">
        <v>420295</v>
      </c>
      <c r="C67" s="12"/>
      <c r="D67" s="12"/>
      <c r="E67" s="14"/>
      <c r="F67" s="14">
        <v>-63044</v>
      </c>
      <c r="G67" s="12"/>
      <c r="H67" s="12"/>
      <c r="I67" s="12"/>
      <c r="J67" s="13">
        <f t="shared" si="3"/>
        <v>357251</v>
      </c>
      <c r="K67" s="12"/>
      <c r="L67" s="12"/>
      <c r="AE67" s="46"/>
      <c r="AF67" s="46"/>
      <c r="AH67" s="46"/>
    </row>
    <row r="68" spans="1:34">
      <c r="A68" s="106" t="s">
        <v>50</v>
      </c>
      <c r="B68" s="12">
        <v>0</v>
      </c>
      <c r="C68" s="12"/>
      <c r="D68" s="12"/>
      <c r="E68" s="14">
        <v>210500</v>
      </c>
      <c r="F68" s="14">
        <v>-15788</v>
      </c>
      <c r="G68" s="12"/>
      <c r="H68" s="12"/>
      <c r="I68" s="12"/>
      <c r="J68" s="13">
        <f t="shared" si="3"/>
        <v>194712</v>
      </c>
      <c r="K68" s="12"/>
      <c r="L68" s="12"/>
      <c r="AE68" s="46"/>
      <c r="AF68" s="46"/>
      <c r="AH68" s="46"/>
    </row>
    <row r="69" spans="1:34">
      <c r="A69" s="106" t="s">
        <v>335</v>
      </c>
      <c r="B69" s="12">
        <v>1456068.27</v>
      </c>
      <c r="C69" s="12"/>
      <c r="D69" s="12"/>
      <c r="E69" s="14"/>
      <c r="F69" s="14">
        <v>-218410</v>
      </c>
      <c r="G69" s="12"/>
      <c r="H69" s="12"/>
      <c r="I69" s="12"/>
      <c r="J69" s="13">
        <f t="shared" si="3"/>
        <v>1237658.27</v>
      </c>
      <c r="K69" s="12"/>
      <c r="L69" s="12"/>
      <c r="AE69" s="46"/>
      <c r="AF69" s="46"/>
      <c r="AH69" s="46"/>
    </row>
    <row r="70" spans="1:34">
      <c r="A70" s="106" t="s">
        <v>330</v>
      </c>
      <c r="B70" s="12">
        <v>774785</v>
      </c>
      <c r="C70" s="12"/>
      <c r="D70" s="12"/>
      <c r="E70" s="14">
        <v>56325</v>
      </c>
      <c r="F70" s="14">
        <v>-115758</v>
      </c>
      <c r="G70" s="12"/>
      <c r="H70" s="12"/>
      <c r="I70" s="12"/>
      <c r="J70" s="13">
        <f t="shared" si="3"/>
        <v>715352</v>
      </c>
      <c r="K70" s="12"/>
      <c r="L70" s="12"/>
      <c r="AE70" s="46"/>
      <c r="AF70" s="46"/>
      <c r="AH70" s="46"/>
    </row>
    <row r="71" spans="1:34">
      <c r="A71" s="106" t="s">
        <v>560</v>
      </c>
      <c r="B71" s="12">
        <v>48718</v>
      </c>
      <c r="C71" s="12"/>
      <c r="D71" s="12"/>
      <c r="E71" s="12"/>
      <c r="F71" s="14">
        <v>-7308</v>
      </c>
      <c r="G71" s="12"/>
      <c r="H71" s="12"/>
      <c r="I71" s="12"/>
      <c r="J71" s="13">
        <f t="shared" si="3"/>
        <v>41410</v>
      </c>
      <c r="K71" s="12"/>
      <c r="L71" s="12"/>
      <c r="AE71" s="46"/>
      <c r="AF71" s="46"/>
      <c r="AH71" s="46"/>
    </row>
    <row r="72" spans="1:34">
      <c r="A72" s="106" t="s">
        <v>351</v>
      </c>
      <c r="B72" s="12">
        <v>32886</v>
      </c>
      <c r="C72" s="12"/>
      <c r="D72" s="12"/>
      <c r="E72" s="12"/>
      <c r="F72" s="14">
        <v>-4933</v>
      </c>
      <c r="G72" s="12"/>
      <c r="H72" s="12"/>
      <c r="I72" s="12"/>
      <c r="J72" s="13">
        <f t="shared" si="3"/>
        <v>27953</v>
      </c>
      <c r="K72" s="12"/>
      <c r="L72" s="12"/>
      <c r="AE72" s="46"/>
      <c r="AF72" s="46"/>
      <c r="AH72" s="46"/>
    </row>
    <row r="73" spans="1:34">
      <c r="A73" s="129"/>
      <c r="B73" s="106"/>
      <c r="C73" s="106"/>
      <c r="E73" s="106"/>
      <c r="F73" s="106"/>
      <c r="G73" s="106"/>
      <c r="H73" s="106"/>
      <c r="I73" s="106"/>
      <c r="J73" s="106"/>
      <c r="K73" s="106"/>
      <c r="L73" s="106"/>
      <c r="AE73" s="46"/>
      <c r="AF73" s="46"/>
      <c r="AH73" s="46"/>
    </row>
    <row r="74" spans="1:34">
      <c r="A74" s="130" t="s">
        <v>348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AE74" s="46"/>
      <c r="AF74" s="46"/>
      <c r="AH74" s="46"/>
    </row>
    <row r="75" spans="1:34">
      <c r="A75" s="106" t="s">
        <v>326</v>
      </c>
      <c r="B75" s="12">
        <v>4289979.25</v>
      </c>
      <c r="C75" s="14"/>
      <c r="D75" s="14"/>
      <c r="E75" s="14">
        <v>379890</v>
      </c>
      <c r="F75" s="14">
        <v>-679494</v>
      </c>
      <c r="G75" s="14"/>
      <c r="H75" s="14"/>
      <c r="I75" s="14"/>
      <c r="J75" s="13">
        <f t="shared" ref="J75:J86" si="4">SUM(B75:I75)</f>
        <v>3990375.25</v>
      </c>
      <c r="K75" s="14"/>
      <c r="L75" s="14"/>
      <c r="AE75" s="46"/>
      <c r="AF75" s="46"/>
      <c r="AH75" s="46"/>
    </row>
    <row r="76" spans="1:34">
      <c r="A76" s="106" t="s">
        <v>573</v>
      </c>
      <c r="B76" s="12">
        <v>4205162</v>
      </c>
      <c r="C76" s="12"/>
      <c r="D76" s="14"/>
      <c r="E76" s="14">
        <f>1523302+90500</f>
        <v>1613802</v>
      </c>
      <c r="F76" s="14">
        <f>-859269-9150</f>
        <v>-868419</v>
      </c>
      <c r="G76" s="14"/>
      <c r="H76" s="14"/>
      <c r="I76" s="14"/>
      <c r="J76" s="13">
        <f t="shared" si="4"/>
        <v>4950545</v>
      </c>
      <c r="K76" s="14"/>
      <c r="L76" s="14"/>
      <c r="AE76" s="46"/>
      <c r="AF76" s="46"/>
      <c r="AH76" s="46"/>
    </row>
    <row r="77" spans="1:34">
      <c r="A77" s="106" t="s">
        <v>332</v>
      </c>
      <c r="B77" s="12">
        <v>7722718.9800000004</v>
      </c>
      <c r="C77" s="14"/>
      <c r="D77" s="14"/>
      <c r="E77" s="14">
        <f>10000+49350</f>
        <v>59350</v>
      </c>
      <c r="F77" s="14">
        <f>-1159158-3701</f>
        <v>-1162859</v>
      </c>
      <c r="G77" s="14"/>
      <c r="H77" s="14"/>
      <c r="I77" s="14"/>
      <c r="J77" s="13">
        <f t="shared" si="4"/>
        <v>6619209.9800000004</v>
      </c>
      <c r="K77" s="14"/>
      <c r="L77" s="14"/>
      <c r="AE77" s="46"/>
      <c r="AF77" s="46"/>
      <c r="AH77" s="46"/>
    </row>
    <row r="78" spans="1:34">
      <c r="A78" s="106" t="s">
        <v>334</v>
      </c>
      <c r="B78" s="12">
        <v>1964068</v>
      </c>
      <c r="C78" s="14"/>
      <c r="D78" s="14"/>
      <c r="E78" s="14">
        <v>77165</v>
      </c>
      <c r="F78" s="14">
        <v>-300873</v>
      </c>
      <c r="G78" s="14"/>
      <c r="H78" s="14"/>
      <c r="I78" s="14"/>
      <c r="J78" s="13">
        <f t="shared" si="4"/>
        <v>1740360</v>
      </c>
      <c r="K78" s="14"/>
      <c r="L78" s="14"/>
      <c r="AE78" s="46"/>
      <c r="AF78" s="46"/>
      <c r="AH78" s="46"/>
    </row>
    <row r="79" spans="1:34">
      <c r="A79" s="106" t="s">
        <v>329</v>
      </c>
      <c r="B79" s="12">
        <v>916690.2</v>
      </c>
      <c r="C79" s="14"/>
      <c r="D79" s="14"/>
      <c r="E79" s="14">
        <v>339214</v>
      </c>
      <c r="F79" s="14">
        <v>-164295</v>
      </c>
      <c r="G79" s="14"/>
      <c r="H79" s="14"/>
      <c r="I79" s="14"/>
      <c r="J79" s="13">
        <f t="shared" si="4"/>
        <v>1091609.2</v>
      </c>
      <c r="K79" s="14"/>
      <c r="L79" s="14"/>
      <c r="AE79" s="46"/>
      <c r="AF79" s="46"/>
      <c r="AH79" s="46"/>
    </row>
    <row r="80" spans="1:34">
      <c r="A80" s="106" t="s">
        <v>335</v>
      </c>
      <c r="B80" s="12">
        <v>937634.75</v>
      </c>
      <c r="C80" s="14"/>
      <c r="D80" s="14"/>
      <c r="E80" s="14">
        <v>47200</v>
      </c>
      <c r="F80" s="14">
        <v>-145550</v>
      </c>
      <c r="G80" s="14"/>
      <c r="H80" s="14"/>
      <c r="I80" s="14"/>
      <c r="J80" s="13">
        <f t="shared" si="4"/>
        <v>839284.75</v>
      </c>
      <c r="K80" s="14"/>
      <c r="L80" s="14"/>
      <c r="AE80" s="46"/>
      <c r="AF80" s="46"/>
      <c r="AH80" s="46"/>
    </row>
    <row r="81" spans="1:34">
      <c r="A81" s="106" t="s">
        <v>50</v>
      </c>
      <c r="B81" s="12">
        <v>82963.520000000004</v>
      </c>
      <c r="C81" s="14"/>
      <c r="D81" s="14"/>
      <c r="E81" s="14">
        <v>552217</v>
      </c>
      <c r="F81" s="14">
        <v>-61991</v>
      </c>
      <c r="G81" s="14"/>
      <c r="H81" s="14"/>
      <c r="I81" s="14"/>
      <c r="J81" s="13">
        <f t="shared" si="4"/>
        <v>573189.52</v>
      </c>
      <c r="K81" s="14"/>
      <c r="L81" s="14"/>
      <c r="AE81" s="46"/>
      <c r="AF81" s="46"/>
      <c r="AH81" s="46"/>
    </row>
    <row r="82" spans="1:34">
      <c r="A82" s="106" t="s">
        <v>560</v>
      </c>
      <c r="B82" s="14">
        <v>684936</v>
      </c>
      <c r="C82" s="14"/>
      <c r="D82" s="14"/>
      <c r="E82" s="14"/>
      <c r="F82" s="14">
        <v>-102740</v>
      </c>
      <c r="G82" s="14"/>
      <c r="H82" s="14"/>
      <c r="I82" s="14"/>
      <c r="J82" s="13">
        <f t="shared" si="4"/>
        <v>582196</v>
      </c>
      <c r="K82" s="14"/>
      <c r="L82" s="14"/>
      <c r="AE82" s="46"/>
      <c r="AF82" s="46"/>
      <c r="AH82" s="46"/>
    </row>
    <row r="83" spans="1:34">
      <c r="A83" s="106" t="s">
        <v>561</v>
      </c>
      <c r="B83" s="14">
        <v>1366154</v>
      </c>
      <c r="C83" s="14"/>
      <c r="D83" s="14"/>
      <c r="E83" s="14">
        <v>13992</v>
      </c>
      <c r="F83" s="14">
        <v>-206834</v>
      </c>
      <c r="G83" s="14"/>
      <c r="H83" s="14"/>
      <c r="I83" s="14"/>
      <c r="J83" s="13">
        <f t="shared" si="4"/>
        <v>1173312</v>
      </c>
      <c r="K83" s="14"/>
      <c r="L83" s="14"/>
      <c r="AE83" s="46"/>
      <c r="AF83" s="46"/>
      <c r="AH83" s="46"/>
    </row>
    <row r="84" spans="1:34">
      <c r="A84" s="106" t="s">
        <v>330</v>
      </c>
      <c r="B84" s="12">
        <v>2956130</v>
      </c>
      <c r="C84" s="14"/>
      <c r="D84" s="14"/>
      <c r="E84" s="14">
        <v>97722</v>
      </c>
      <c r="F84" s="14">
        <v>-453755</v>
      </c>
      <c r="G84" s="14"/>
      <c r="H84" s="14"/>
      <c r="I84" s="14"/>
      <c r="J84" s="13">
        <f t="shared" si="4"/>
        <v>2600097</v>
      </c>
      <c r="K84" s="14"/>
      <c r="L84" s="14"/>
      <c r="AE84" s="46"/>
      <c r="AF84" s="46"/>
      <c r="AH84" s="46"/>
    </row>
    <row r="85" spans="1:34">
      <c r="A85" s="106" t="s">
        <v>257</v>
      </c>
      <c r="B85" s="12">
        <v>319859557.23000002</v>
      </c>
      <c r="C85" s="14"/>
      <c r="D85" s="14"/>
      <c r="E85" s="14"/>
      <c r="F85" s="14">
        <v>-47978934</v>
      </c>
      <c r="G85" s="14"/>
      <c r="H85" s="14"/>
      <c r="I85" s="14"/>
      <c r="J85" s="13">
        <f t="shared" si="4"/>
        <v>271880623.23000002</v>
      </c>
      <c r="K85" s="14"/>
      <c r="L85" s="14"/>
      <c r="AE85" s="46"/>
      <c r="AF85" s="46"/>
      <c r="AH85" s="46"/>
    </row>
    <row r="86" spans="1:34">
      <c r="A86" s="106" t="s">
        <v>594</v>
      </c>
      <c r="B86" s="12">
        <v>6230953</v>
      </c>
      <c r="C86" s="14"/>
      <c r="D86" s="14"/>
      <c r="E86" s="14">
        <v>150041</v>
      </c>
      <c r="F86" s="14">
        <f>-132659-822128</f>
        <v>-954787</v>
      </c>
      <c r="G86" s="14"/>
      <c r="H86" s="14"/>
      <c r="I86" s="14"/>
      <c r="J86" s="13">
        <f t="shared" si="4"/>
        <v>5426207</v>
      </c>
      <c r="K86" s="14"/>
      <c r="L86" s="14"/>
      <c r="AE86" s="46"/>
      <c r="AF86" s="46"/>
      <c r="AH86" s="46"/>
    </row>
    <row r="87" spans="1:34">
      <c r="A87" s="129"/>
      <c r="B87" s="106"/>
      <c r="C87" s="106"/>
      <c r="E87" s="106"/>
      <c r="F87" s="106"/>
      <c r="G87" s="106"/>
      <c r="H87" s="106"/>
      <c r="I87" s="106"/>
      <c r="J87" s="106"/>
      <c r="K87" s="106"/>
      <c r="L87" s="106"/>
      <c r="AE87" s="46"/>
      <c r="AF87" s="46"/>
      <c r="AH87" s="46"/>
    </row>
    <row r="88" spans="1:34">
      <c r="A88" s="130" t="s">
        <v>325</v>
      </c>
      <c r="B88" s="106"/>
      <c r="C88" s="106"/>
      <c r="E88" s="106"/>
      <c r="F88" s="123"/>
      <c r="G88" s="123"/>
      <c r="H88" s="106"/>
      <c r="I88" s="106"/>
      <c r="J88" s="106"/>
      <c r="K88" s="106"/>
      <c r="L88" s="106"/>
      <c r="AE88" s="46"/>
      <c r="AF88" s="46"/>
      <c r="AH88" s="46"/>
    </row>
    <row r="89" spans="1:34">
      <c r="A89" s="106" t="s">
        <v>326</v>
      </c>
      <c r="B89" s="12">
        <v>665352.72</v>
      </c>
      <c r="C89" s="12"/>
      <c r="D89" s="12"/>
      <c r="E89" s="12"/>
      <c r="F89" s="71">
        <v>-99803</v>
      </c>
      <c r="G89" s="12"/>
      <c r="H89" s="12"/>
      <c r="I89" s="12"/>
      <c r="J89" s="13">
        <f>SUM(B89:I89)</f>
        <v>565549.72</v>
      </c>
      <c r="K89" s="12"/>
      <c r="L89" s="12"/>
      <c r="AE89" s="46"/>
      <c r="AF89" s="46"/>
      <c r="AH89" s="46"/>
    </row>
    <row r="90" spans="1:34">
      <c r="A90" s="106"/>
      <c r="B90" s="12" t="s">
        <v>544</v>
      </c>
      <c r="C90" s="12"/>
      <c r="D90" s="14"/>
      <c r="E90" s="12"/>
      <c r="F90" s="75"/>
      <c r="G90" s="75"/>
      <c r="H90" s="12"/>
      <c r="I90" s="12"/>
      <c r="J90" s="12" t="s">
        <v>544</v>
      </c>
      <c r="K90" s="12"/>
      <c r="L90" s="12"/>
      <c r="AE90" s="46"/>
      <c r="AF90" s="46"/>
      <c r="AH90" s="46"/>
    </row>
    <row r="91" spans="1:34">
      <c r="A91" s="130" t="s">
        <v>338</v>
      </c>
      <c r="B91" s="12" t="s">
        <v>544</v>
      </c>
      <c r="C91" s="12"/>
      <c r="D91" s="14"/>
      <c r="E91" s="12"/>
      <c r="F91" s="12"/>
      <c r="G91" s="12"/>
      <c r="H91" s="12"/>
      <c r="I91" s="12"/>
      <c r="J91" s="12" t="s">
        <v>544</v>
      </c>
      <c r="K91" s="12"/>
      <c r="L91" s="12"/>
      <c r="AE91" s="46"/>
      <c r="AF91" s="46"/>
      <c r="AH91" s="46"/>
    </row>
    <row r="92" spans="1:34">
      <c r="A92" s="106" t="s">
        <v>326</v>
      </c>
      <c r="B92" s="12">
        <v>20389083.760000002</v>
      </c>
      <c r="C92" s="12"/>
      <c r="D92" s="12"/>
      <c r="E92" s="12">
        <v>688320</v>
      </c>
      <c r="F92" s="12">
        <v>-2073474</v>
      </c>
      <c r="G92" s="12"/>
      <c r="H92" s="12"/>
      <c r="I92" s="12"/>
      <c r="J92" s="13">
        <f t="shared" ref="J92:J102" si="5">SUM(B92:I92)</f>
        <v>19003929.760000002</v>
      </c>
      <c r="K92" s="12"/>
      <c r="L92" s="12"/>
      <c r="AE92" s="46"/>
      <c r="AF92" s="46"/>
      <c r="AH92" s="46"/>
    </row>
    <row r="93" spans="1:34">
      <c r="A93" s="106" t="s">
        <v>573</v>
      </c>
      <c r="B93" s="12">
        <v>9592744.0199999996</v>
      </c>
      <c r="C93" s="12"/>
      <c r="D93" s="14"/>
      <c r="E93" s="12">
        <v>455393</v>
      </c>
      <c r="F93" s="12">
        <v>-999822</v>
      </c>
      <c r="G93" s="12"/>
      <c r="H93" s="12"/>
      <c r="I93" s="12"/>
      <c r="J93" s="13">
        <f t="shared" si="5"/>
        <v>9048315.0199999996</v>
      </c>
      <c r="K93" s="12"/>
      <c r="L93" s="12"/>
      <c r="AE93" s="46"/>
      <c r="AF93" s="46"/>
      <c r="AH93" s="46"/>
    </row>
    <row r="94" spans="1:34">
      <c r="A94" s="106" t="s">
        <v>332</v>
      </c>
      <c r="B94" s="12">
        <v>8352771.2699999996</v>
      </c>
      <c r="C94" s="12"/>
      <c r="D94" s="14"/>
      <c r="E94" s="12"/>
      <c r="F94" s="12">
        <v>-835277</v>
      </c>
      <c r="G94" s="12"/>
      <c r="H94" s="12"/>
      <c r="I94" s="12"/>
      <c r="J94" s="13">
        <f t="shared" si="5"/>
        <v>7517494.2699999996</v>
      </c>
      <c r="K94" s="12"/>
      <c r="L94" s="12"/>
      <c r="AE94" s="46"/>
      <c r="AF94" s="46"/>
      <c r="AH94" s="46"/>
    </row>
    <row r="95" spans="1:34">
      <c r="A95" s="106" t="s">
        <v>334</v>
      </c>
      <c r="B95" s="12">
        <v>11591660</v>
      </c>
      <c r="C95" s="12"/>
      <c r="D95" s="14"/>
      <c r="E95" s="12">
        <v>306610</v>
      </c>
      <c r="F95" s="12">
        <v>-1178746</v>
      </c>
      <c r="G95" s="12"/>
      <c r="H95" s="12"/>
      <c r="I95" s="12"/>
      <c r="J95" s="13">
        <f t="shared" si="5"/>
        <v>10719524</v>
      </c>
      <c r="K95" s="12"/>
      <c r="L95" s="12"/>
      <c r="AE95" s="46"/>
      <c r="AF95" s="46"/>
      <c r="AH95" s="46"/>
    </row>
    <row r="96" spans="1:34">
      <c r="A96" s="106" t="s">
        <v>329</v>
      </c>
      <c r="B96" s="12">
        <v>1000190.0700000003</v>
      </c>
      <c r="C96" s="12">
        <v>4950665</v>
      </c>
      <c r="D96" s="14"/>
      <c r="E96" s="12">
        <v>63819</v>
      </c>
      <c r="F96" s="12">
        <v>-599440</v>
      </c>
      <c r="G96" s="12"/>
      <c r="H96" s="12"/>
      <c r="I96" s="12"/>
      <c r="J96" s="13">
        <f t="shared" si="5"/>
        <v>5415234.0700000003</v>
      </c>
      <c r="K96" s="12"/>
      <c r="L96" s="12"/>
      <c r="AE96" s="46"/>
      <c r="AF96" s="46"/>
      <c r="AH96" s="46"/>
    </row>
    <row r="97" spans="1:34">
      <c r="A97" s="106" t="s">
        <v>335</v>
      </c>
      <c r="B97" s="12">
        <v>6725569.7000000002</v>
      </c>
      <c r="C97" s="12"/>
      <c r="D97" s="12"/>
      <c r="E97" s="12">
        <v>468818</v>
      </c>
      <c r="F97" s="12">
        <v>-695998</v>
      </c>
      <c r="G97" s="12"/>
      <c r="H97" s="12"/>
      <c r="I97" s="12"/>
      <c r="J97" s="13">
        <f t="shared" si="5"/>
        <v>6498389.7000000002</v>
      </c>
      <c r="K97" s="12"/>
      <c r="L97" s="12"/>
      <c r="AE97" s="46"/>
      <c r="AF97" s="46"/>
      <c r="AH97" s="46"/>
    </row>
    <row r="98" spans="1:34">
      <c r="A98" s="106" t="s">
        <v>50</v>
      </c>
      <c r="B98" s="12">
        <v>921057.86</v>
      </c>
      <c r="C98" s="12"/>
      <c r="D98" s="12"/>
      <c r="E98" s="12">
        <v>2845047</v>
      </c>
      <c r="F98" s="12">
        <v>-282665</v>
      </c>
      <c r="G98" s="12"/>
      <c r="H98" s="12"/>
      <c r="I98" s="12"/>
      <c r="J98" s="13">
        <f t="shared" si="5"/>
        <v>3483439.86</v>
      </c>
      <c r="K98" s="12"/>
      <c r="L98" s="12"/>
      <c r="AE98" s="46"/>
      <c r="AF98" s="46"/>
      <c r="AH98" s="46"/>
    </row>
    <row r="99" spans="1:34">
      <c r="A99" s="106" t="s">
        <v>330</v>
      </c>
      <c r="B99" s="12">
        <v>6317210.9399999995</v>
      </c>
      <c r="C99" s="12"/>
      <c r="D99" s="12"/>
      <c r="E99" s="12">
        <v>3766621</v>
      </c>
      <c r="F99" s="12">
        <v>-820052</v>
      </c>
      <c r="G99" s="12"/>
      <c r="H99" s="12"/>
      <c r="I99" s="12"/>
      <c r="J99" s="13">
        <f t="shared" si="5"/>
        <v>9263779.9399999995</v>
      </c>
      <c r="K99" s="12"/>
      <c r="L99" s="12"/>
      <c r="AE99" s="46"/>
      <c r="AF99" s="46"/>
      <c r="AH99" s="46"/>
    </row>
    <row r="100" spans="1:34">
      <c r="A100" s="106" t="s">
        <v>560</v>
      </c>
      <c r="B100" s="12">
        <v>5506177</v>
      </c>
      <c r="C100" s="12"/>
      <c r="D100" s="12"/>
      <c r="E100" s="12">
        <v>537902</v>
      </c>
      <c r="F100" s="12">
        <v>-585543</v>
      </c>
      <c r="G100" s="12"/>
      <c r="H100" s="12"/>
      <c r="I100" s="12"/>
      <c r="J100" s="13">
        <f t="shared" si="5"/>
        <v>5458536</v>
      </c>
      <c r="K100" s="12"/>
      <c r="L100" s="12"/>
      <c r="AE100" s="46"/>
      <c r="AF100" s="46"/>
      <c r="AH100" s="46"/>
    </row>
    <row r="101" spans="1:34">
      <c r="A101" s="106" t="s">
        <v>561</v>
      </c>
      <c r="B101" s="12">
        <v>5216755.26</v>
      </c>
      <c r="C101" s="12"/>
      <c r="D101" s="12"/>
      <c r="E101" s="12">
        <v>230892</v>
      </c>
      <c r="F101" s="12">
        <v>-533321</v>
      </c>
      <c r="G101" s="12"/>
      <c r="H101" s="12"/>
      <c r="I101" s="12"/>
      <c r="J101" s="13">
        <f t="shared" si="5"/>
        <v>4914326.26</v>
      </c>
      <c r="K101" s="12"/>
      <c r="L101" s="12"/>
      <c r="AE101" s="46"/>
      <c r="AF101" s="46"/>
      <c r="AH101" s="46"/>
    </row>
    <row r="102" spans="1:34">
      <c r="A102" s="106" t="s">
        <v>594</v>
      </c>
      <c r="B102" s="12">
        <v>3912247</v>
      </c>
      <c r="C102" s="12"/>
      <c r="D102" s="12"/>
      <c r="E102" s="12">
        <v>130606</v>
      </c>
      <c r="F102" s="12">
        <v>-404148</v>
      </c>
      <c r="G102" s="12"/>
      <c r="H102" s="12"/>
      <c r="I102" s="12"/>
      <c r="J102" s="13">
        <f t="shared" si="5"/>
        <v>3638705</v>
      </c>
      <c r="K102" s="12"/>
      <c r="L102" s="12"/>
      <c r="AE102" s="46"/>
      <c r="AF102" s="46"/>
      <c r="AH102" s="46"/>
    </row>
    <row r="103" spans="1:34">
      <c r="A103" s="106"/>
      <c r="B103" s="12" t="s">
        <v>544</v>
      </c>
      <c r="C103" s="12"/>
      <c r="D103" s="14"/>
      <c r="E103" s="12"/>
      <c r="F103" s="12"/>
      <c r="G103" s="12"/>
      <c r="H103" s="12"/>
      <c r="I103" s="12"/>
      <c r="J103" s="12" t="s">
        <v>544</v>
      </c>
      <c r="K103" s="12"/>
      <c r="L103" s="12"/>
      <c r="AE103" s="46"/>
      <c r="AF103" s="46"/>
      <c r="AH103" s="46"/>
    </row>
    <row r="104" spans="1:34">
      <c r="A104" s="130" t="s">
        <v>340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AE104" s="46"/>
      <c r="AF104" s="46"/>
      <c r="AH104" s="46"/>
    </row>
    <row r="105" spans="1:34">
      <c r="A105" s="106" t="s">
        <v>278</v>
      </c>
      <c r="B105" s="12">
        <v>7952437.75</v>
      </c>
      <c r="C105" s="12"/>
      <c r="D105" s="14"/>
      <c r="E105" s="12">
        <f>138035+133006+31844+19500</f>
        <v>322385</v>
      </c>
      <c r="F105" s="12">
        <f>-79759-15615-668983-83186-1463</f>
        <v>-849006</v>
      </c>
      <c r="G105" s="12"/>
      <c r="H105" s="12"/>
      <c r="I105" s="46"/>
      <c r="J105" s="13">
        <f>SUM(B105:I105)</f>
        <v>7425816.75</v>
      </c>
      <c r="K105" s="12"/>
      <c r="L105" s="12"/>
      <c r="AE105" s="46"/>
      <c r="AF105" s="46"/>
      <c r="AH105" s="46"/>
    </row>
    <row r="106" spans="1:34">
      <c r="H106" s="46"/>
      <c r="I106" s="46"/>
      <c r="K106" s="46"/>
      <c r="L106" s="46"/>
      <c r="AE106" s="46"/>
      <c r="AF106" s="46"/>
      <c r="AH106" s="46"/>
    </row>
    <row r="107" spans="1:34">
      <c r="A107" s="130" t="s">
        <v>327</v>
      </c>
      <c r="B107" s="12" t="s">
        <v>544</v>
      </c>
      <c r="C107" s="12"/>
      <c r="D107" s="14"/>
      <c r="E107" s="12"/>
      <c r="F107" s="12"/>
      <c r="G107" s="12"/>
      <c r="H107" s="12"/>
      <c r="I107" s="12"/>
      <c r="J107" s="12" t="s">
        <v>544</v>
      </c>
      <c r="K107" s="12"/>
      <c r="L107" s="12"/>
      <c r="AE107" s="46"/>
      <c r="AF107" s="46"/>
      <c r="AH107" s="46"/>
    </row>
    <row r="108" spans="1:34">
      <c r="A108" s="106" t="s">
        <v>326</v>
      </c>
      <c r="B108" s="12">
        <v>57486</v>
      </c>
      <c r="C108" s="12"/>
      <c r="D108" s="12"/>
      <c r="E108" s="12">
        <v>272040</v>
      </c>
      <c r="F108" s="12">
        <v>-181421</v>
      </c>
      <c r="G108" s="12"/>
      <c r="H108" s="12"/>
      <c r="I108" s="12"/>
      <c r="J108" s="13">
        <f t="shared" ref="J108:J114" si="6">SUM(B108:I108)</f>
        <v>148105</v>
      </c>
      <c r="K108" s="12"/>
      <c r="L108" s="12"/>
      <c r="AE108" s="46"/>
      <c r="AF108" s="46"/>
      <c r="AH108" s="46"/>
    </row>
    <row r="109" spans="1:34">
      <c r="A109" s="106" t="s">
        <v>328</v>
      </c>
      <c r="B109" s="12">
        <v>10625</v>
      </c>
      <c r="C109" s="12"/>
      <c r="D109" s="12"/>
      <c r="E109" s="12"/>
      <c r="F109" s="12">
        <v>-6375</v>
      </c>
      <c r="G109" s="12"/>
      <c r="H109" s="12"/>
      <c r="I109" s="12"/>
      <c r="J109" s="13">
        <f t="shared" si="6"/>
        <v>4250</v>
      </c>
      <c r="K109" s="12"/>
      <c r="L109" s="12"/>
      <c r="AE109" s="131"/>
      <c r="AF109" s="131"/>
      <c r="AH109" s="46"/>
    </row>
    <row r="110" spans="1:34">
      <c r="A110" s="106" t="s">
        <v>329</v>
      </c>
      <c r="B110" s="12">
        <v>19759</v>
      </c>
      <c r="C110" s="12"/>
      <c r="D110" s="12"/>
      <c r="E110" s="12"/>
      <c r="F110" s="12">
        <v>-11855</v>
      </c>
      <c r="G110" s="12"/>
      <c r="H110" s="12"/>
      <c r="I110" s="12"/>
      <c r="J110" s="13">
        <f t="shared" si="6"/>
        <v>7904</v>
      </c>
      <c r="K110" s="12"/>
      <c r="L110" s="12"/>
      <c r="AE110" s="46"/>
      <c r="AF110" s="46"/>
      <c r="AH110" s="46"/>
    </row>
    <row r="111" spans="1:34">
      <c r="A111" s="106" t="s">
        <v>594</v>
      </c>
      <c r="B111" s="12">
        <v>1225122</v>
      </c>
      <c r="C111" s="12"/>
      <c r="D111" s="12"/>
      <c r="E111" s="12">
        <v>119092</v>
      </c>
      <c r="F111" s="12">
        <v>-770801</v>
      </c>
      <c r="G111" s="12"/>
      <c r="H111" s="12"/>
      <c r="I111" s="12"/>
      <c r="J111" s="13">
        <f t="shared" si="6"/>
        <v>573413</v>
      </c>
      <c r="K111" s="12"/>
      <c r="L111" s="12"/>
      <c r="AE111" s="46"/>
      <c r="AF111" s="46"/>
      <c r="AH111" s="46"/>
    </row>
    <row r="112" spans="1:34">
      <c r="A112" s="106" t="s">
        <v>560</v>
      </c>
      <c r="B112" s="12">
        <v>243316</v>
      </c>
      <c r="C112" s="12"/>
      <c r="D112" s="12"/>
      <c r="E112" s="12">
        <v>95623</v>
      </c>
      <c r="F112" s="12">
        <v>-203364</v>
      </c>
      <c r="G112" s="12"/>
      <c r="H112" s="12"/>
      <c r="I112" s="12"/>
      <c r="J112" s="13">
        <f t="shared" si="6"/>
        <v>135575</v>
      </c>
      <c r="K112" s="12"/>
      <c r="L112" s="12"/>
      <c r="AE112" s="46"/>
      <c r="AF112" s="46"/>
      <c r="AH112" s="46"/>
    </row>
    <row r="113" spans="1:34">
      <c r="A113" s="106" t="s">
        <v>437</v>
      </c>
      <c r="B113" s="12">
        <v>26242</v>
      </c>
      <c r="C113" s="12"/>
      <c r="D113" s="12"/>
      <c r="E113" s="12"/>
      <c r="F113" s="12">
        <v>-15745</v>
      </c>
      <c r="G113" s="12"/>
      <c r="H113" s="12"/>
      <c r="I113" s="12"/>
      <c r="J113" s="13">
        <f t="shared" si="6"/>
        <v>10497</v>
      </c>
      <c r="K113" s="12"/>
      <c r="L113" s="12"/>
      <c r="AE113" s="46"/>
      <c r="AF113" s="46"/>
      <c r="AH113" s="46"/>
    </row>
    <row r="114" spans="1:34">
      <c r="A114" s="106" t="s">
        <v>330</v>
      </c>
      <c r="B114" s="12">
        <v>229701</v>
      </c>
      <c r="C114" s="12"/>
      <c r="D114" s="12"/>
      <c r="E114" s="12"/>
      <c r="F114" s="12">
        <v>-34455</v>
      </c>
      <c r="G114" s="12"/>
      <c r="H114" s="12"/>
      <c r="I114" s="12"/>
      <c r="J114" s="13">
        <f t="shared" si="6"/>
        <v>195246</v>
      </c>
      <c r="K114" s="12"/>
      <c r="L114" s="12"/>
      <c r="AE114" s="131"/>
      <c r="AF114" s="131"/>
      <c r="AH114" s="46"/>
    </row>
    <row r="115" spans="1:34">
      <c r="A115" s="106"/>
      <c r="B115" s="12"/>
      <c r="C115" s="12"/>
      <c r="D115" s="14"/>
      <c r="E115" s="12"/>
      <c r="F115" s="12"/>
      <c r="G115" s="12"/>
      <c r="H115" s="12"/>
      <c r="I115" s="12"/>
      <c r="J115" s="12"/>
      <c r="K115" s="12"/>
      <c r="L115" s="12"/>
      <c r="AE115" s="46"/>
      <c r="AF115" s="46"/>
      <c r="AH115" s="46"/>
    </row>
    <row r="116" spans="1:34">
      <c r="A116" s="130" t="s">
        <v>331</v>
      </c>
      <c r="B116" s="12"/>
      <c r="C116" s="12"/>
      <c r="D116" s="14"/>
      <c r="E116" s="12"/>
      <c r="F116" s="12"/>
      <c r="G116" s="12"/>
      <c r="H116" s="12"/>
      <c r="I116" s="12"/>
      <c r="J116" s="12"/>
      <c r="K116" s="12"/>
      <c r="L116" s="12"/>
      <c r="AE116" s="46"/>
      <c r="AF116" s="46"/>
      <c r="AH116" s="46"/>
    </row>
    <row r="117" spans="1:34">
      <c r="A117" s="106" t="s">
        <v>326</v>
      </c>
      <c r="B117" s="12">
        <v>62887</v>
      </c>
      <c r="C117" s="12"/>
      <c r="D117" s="12"/>
      <c r="E117" s="12"/>
      <c r="F117" s="12">
        <v>-37732</v>
      </c>
      <c r="G117" s="12"/>
      <c r="H117" s="12"/>
      <c r="I117" s="12"/>
      <c r="J117" s="13">
        <f>SUM(B117:I117)</f>
        <v>25155</v>
      </c>
      <c r="K117" s="12"/>
      <c r="L117" s="12"/>
      <c r="AE117" s="46"/>
      <c r="AF117" s="46"/>
      <c r="AH117" s="46"/>
    </row>
    <row r="118" spans="1:34">
      <c r="A118" s="106" t="s">
        <v>330</v>
      </c>
      <c r="B118" s="12">
        <v>39461</v>
      </c>
      <c r="C118" s="12"/>
      <c r="D118" s="12"/>
      <c r="E118" s="12"/>
      <c r="F118" s="12">
        <v>-23677</v>
      </c>
      <c r="G118" s="12"/>
      <c r="H118" s="12"/>
      <c r="I118" s="12"/>
      <c r="J118" s="13">
        <f>SUM(B118:I118)</f>
        <v>15784</v>
      </c>
      <c r="K118" s="12"/>
      <c r="L118" s="12"/>
      <c r="AE118" s="46"/>
      <c r="AF118" s="46"/>
      <c r="AH118" s="46"/>
    </row>
    <row r="119" spans="1:34">
      <c r="A119" s="106" t="s">
        <v>332</v>
      </c>
      <c r="B119" s="12">
        <v>952</v>
      </c>
      <c r="C119" s="12"/>
      <c r="D119" s="12"/>
      <c r="E119" s="12"/>
      <c r="F119" s="12">
        <v>-571</v>
      </c>
      <c r="G119" s="12"/>
      <c r="H119" s="12"/>
      <c r="I119" s="12"/>
      <c r="J119" s="13">
        <f>SUM(B119:I119)</f>
        <v>381</v>
      </c>
      <c r="K119" s="12"/>
      <c r="L119" s="12"/>
      <c r="AE119" s="46"/>
      <c r="AF119" s="46"/>
      <c r="AH119" s="46"/>
    </row>
    <row r="120" spans="1:34">
      <c r="A120" s="106" t="s">
        <v>437</v>
      </c>
      <c r="B120" s="12">
        <v>1258</v>
      </c>
      <c r="C120" s="12"/>
      <c r="D120" s="12"/>
      <c r="E120" s="12"/>
      <c r="F120" s="12">
        <v>-755</v>
      </c>
      <c r="G120" s="12"/>
      <c r="H120" s="12"/>
      <c r="I120" s="12"/>
      <c r="J120" s="13">
        <f>SUM(B120:I120)</f>
        <v>503</v>
      </c>
      <c r="K120" s="71"/>
      <c r="L120" s="12"/>
      <c r="AE120" s="46"/>
      <c r="AF120" s="46"/>
      <c r="AH120" s="46"/>
    </row>
    <row r="121" spans="1:34">
      <c r="A121" s="106"/>
      <c r="B121" s="12"/>
      <c r="C121" s="12"/>
      <c r="D121" s="14"/>
      <c r="E121" s="12"/>
      <c r="F121" s="12"/>
      <c r="G121" s="12"/>
      <c r="H121" s="12"/>
      <c r="I121" s="12"/>
      <c r="J121" s="12"/>
      <c r="K121" s="12"/>
      <c r="L121" s="12"/>
      <c r="AE121" s="46"/>
      <c r="AF121" s="46"/>
      <c r="AH121" s="46"/>
    </row>
    <row r="122" spans="1:34">
      <c r="A122" s="130" t="s">
        <v>333</v>
      </c>
      <c r="B122" s="12" t="s">
        <v>544</v>
      </c>
      <c r="C122" s="12"/>
      <c r="D122" s="14"/>
      <c r="E122" s="12"/>
      <c r="F122" s="12"/>
      <c r="G122" s="12"/>
      <c r="H122" s="12"/>
      <c r="I122" s="12"/>
      <c r="J122" s="12" t="s">
        <v>544</v>
      </c>
      <c r="K122" s="12"/>
      <c r="L122" s="12"/>
      <c r="AE122" s="46"/>
      <c r="AF122" s="46"/>
      <c r="AH122" s="46"/>
    </row>
    <row r="123" spans="1:34">
      <c r="A123" s="106" t="s">
        <v>326</v>
      </c>
      <c r="B123" s="12">
        <v>114555.18</v>
      </c>
      <c r="C123" s="12"/>
      <c r="D123" s="14"/>
      <c r="E123" s="12">
        <v>59955</v>
      </c>
      <c r="F123" s="12">
        <v>-104706</v>
      </c>
      <c r="G123" s="12"/>
      <c r="H123" s="12"/>
      <c r="I123" s="12"/>
      <c r="J123" s="13">
        <f t="shared" ref="J123:J130" si="7">SUM(B123:I123)</f>
        <v>69804.179999999993</v>
      </c>
      <c r="K123" s="12"/>
      <c r="L123" s="12"/>
      <c r="AE123" s="46"/>
      <c r="AF123" s="46"/>
      <c r="AH123" s="46"/>
    </row>
    <row r="124" spans="1:34">
      <c r="A124" s="106" t="s">
        <v>278</v>
      </c>
      <c r="B124" s="12">
        <v>570868.19999999995</v>
      </c>
      <c r="C124" s="12"/>
      <c r="D124" s="14"/>
      <c r="E124" s="12">
        <v>6329</v>
      </c>
      <c r="F124" s="12">
        <v>-344420</v>
      </c>
      <c r="G124" s="12"/>
      <c r="H124" s="12"/>
      <c r="I124" s="12"/>
      <c r="J124" s="13">
        <f t="shared" si="7"/>
        <v>232777.19999999995</v>
      </c>
      <c r="K124" s="12"/>
      <c r="L124" s="12"/>
      <c r="AE124" s="46"/>
      <c r="AF124" s="46"/>
      <c r="AH124" s="46"/>
    </row>
    <row r="125" spans="1:34">
      <c r="A125" s="106" t="s">
        <v>332</v>
      </c>
      <c r="B125" s="12">
        <v>401253</v>
      </c>
      <c r="C125" s="12"/>
      <c r="D125" s="14"/>
      <c r="E125" s="12"/>
      <c r="F125" s="12">
        <v>-240752</v>
      </c>
      <c r="G125" s="12"/>
      <c r="H125" s="12"/>
      <c r="I125" s="12"/>
      <c r="J125" s="13">
        <f t="shared" si="7"/>
        <v>160501</v>
      </c>
      <c r="K125" s="12"/>
      <c r="L125" s="12"/>
      <c r="AE125" s="46"/>
      <c r="AF125" s="46"/>
      <c r="AH125" s="46"/>
    </row>
    <row r="126" spans="1:34">
      <c r="A126" s="106" t="s">
        <v>334</v>
      </c>
      <c r="B126" s="12">
        <v>462971</v>
      </c>
      <c r="C126" s="12"/>
      <c r="D126" s="14"/>
      <c r="E126" s="12">
        <v>181939</v>
      </c>
      <c r="F126" s="12">
        <v>-354403</v>
      </c>
      <c r="G126" s="12"/>
      <c r="H126" s="12"/>
      <c r="I126" s="12"/>
      <c r="J126" s="13">
        <f t="shared" si="7"/>
        <v>290507</v>
      </c>
      <c r="K126" s="12"/>
      <c r="L126" s="12"/>
      <c r="AE126" s="46"/>
      <c r="AF126" s="46"/>
      <c r="AH126" s="46"/>
    </row>
    <row r="127" spans="1:34">
      <c r="A127" s="106" t="s">
        <v>329</v>
      </c>
      <c r="B127" s="12">
        <v>55240</v>
      </c>
      <c r="C127" s="12"/>
      <c r="D127" s="14"/>
      <c r="E127" s="12"/>
      <c r="F127" s="12">
        <v>-33144</v>
      </c>
      <c r="G127" s="12"/>
      <c r="H127" s="12"/>
      <c r="I127" s="12"/>
      <c r="J127" s="13">
        <f t="shared" si="7"/>
        <v>22096</v>
      </c>
      <c r="K127" s="12"/>
      <c r="L127" s="12"/>
      <c r="AE127" s="46"/>
      <c r="AF127" s="46"/>
      <c r="AH127" s="46"/>
    </row>
    <row r="128" spans="1:34">
      <c r="A128" s="106" t="s">
        <v>335</v>
      </c>
      <c r="B128" s="12">
        <v>203813.28000000003</v>
      </c>
      <c r="C128" s="12"/>
      <c r="D128" s="14"/>
      <c r="E128" s="12">
        <v>128637</v>
      </c>
      <c r="F128" s="12">
        <v>-160879</v>
      </c>
      <c r="G128" s="12"/>
      <c r="H128" s="12"/>
      <c r="I128" s="12"/>
      <c r="J128" s="13">
        <f t="shared" si="7"/>
        <v>171571.28000000003</v>
      </c>
      <c r="K128" s="12"/>
      <c r="L128" s="12"/>
      <c r="AE128" s="46"/>
      <c r="AF128" s="46"/>
      <c r="AH128" s="46"/>
    </row>
    <row r="129" spans="1:34">
      <c r="A129" s="106" t="s">
        <v>50</v>
      </c>
      <c r="B129" s="12">
        <v>649964.98</v>
      </c>
      <c r="C129" s="12"/>
      <c r="D129" s="14"/>
      <c r="E129" s="12">
        <v>17415</v>
      </c>
      <c r="F129" s="12">
        <v>-400428</v>
      </c>
      <c r="G129" s="12"/>
      <c r="H129" s="12"/>
      <c r="I129" s="12"/>
      <c r="J129" s="13">
        <f t="shared" si="7"/>
        <v>266951.98</v>
      </c>
      <c r="K129" s="12"/>
      <c r="L129" s="12"/>
      <c r="AE129" s="46"/>
      <c r="AF129" s="46"/>
      <c r="AH129" s="46"/>
    </row>
    <row r="130" spans="1:34">
      <c r="A130" s="106" t="s">
        <v>330</v>
      </c>
      <c r="B130" s="12">
        <v>537338</v>
      </c>
      <c r="C130" s="12"/>
      <c r="D130" s="14"/>
      <c r="E130" s="12">
        <v>272227</v>
      </c>
      <c r="F130" s="12">
        <v>-404071</v>
      </c>
      <c r="G130" s="12"/>
      <c r="H130" s="12"/>
      <c r="I130" s="12"/>
      <c r="J130" s="13">
        <f t="shared" si="7"/>
        <v>405494</v>
      </c>
      <c r="K130" s="12"/>
      <c r="L130" s="12"/>
      <c r="AE130" s="46"/>
      <c r="AF130" s="46"/>
      <c r="AH130" s="46"/>
    </row>
    <row r="131" spans="1:34">
      <c r="A131" s="106"/>
      <c r="B131" s="12" t="s">
        <v>544</v>
      </c>
      <c r="C131" s="12"/>
      <c r="D131" s="14"/>
      <c r="E131" s="12"/>
      <c r="F131" s="12"/>
      <c r="G131" s="12"/>
      <c r="H131" s="12"/>
      <c r="I131" s="12"/>
      <c r="J131" s="12" t="s">
        <v>544</v>
      </c>
      <c r="K131" s="12"/>
      <c r="L131" s="12"/>
      <c r="AE131" s="46"/>
      <c r="AF131" s="46"/>
      <c r="AH131" s="46"/>
    </row>
    <row r="132" spans="1:34">
      <c r="A132" s="130" t="s">
        <v>353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AE132" s="46"/>
      <c r="AF132" s="46"/>
      <c r="AH132" s="46"/>
    </row>
    <row r="133" spans="1:34">
      <c r="A133" s="106" t="s">
        <v>326</v>
      </c>
      <c r="B133" s="12">
        <v>670329.21</v>
      </c>
      <c r="C133" s="12"/>
      <c r="D133" s="14"/>
      <c r="E133" s="12"/>
      <c r="F133" s="14">
        <v>-100549</v>
      </c>
      <c r="G133" s="12"/>
      <c r="H133" s="12"/>
      <c r="I133" s="12"/>
      <c r="J133" s="13">
        <f t="shared" ref="J133:J140" si="8">SUM(B133:I133)</f>
        <v>569780.21</v>
      </c>
      <c r="K133" s="12"/>
      <c r="L133" s="12"/>
      <c r="AE133" s="46"/>
      <c r="AF133" s="46"/>
      <c r="AH133" s="46"/>
    </row>
    <row r="134" spans="1:34">
      <c r="A134" s="106" t="s">
        <v>278</v>
      </c>
      <c r="B134" s="12">
        <v>260958.59999999998</v>
      </c>
      <c r="C134" s="12"/>
      <c r="D134" s="14"/>
      <c r="E134" s="12"/>
      <c r="F134" s="14">
        <f>-34398-4746</f>
        <v>-39144</v>
      </c>
      <c r="G134" s="12"/>
      <c r="H134" s="12"/>
      <c r="I134" s="12"/>
      <c r="J134" s="13">
        <f t="shared" si="8"/>
        <v>221814.59999999998</v>
      </c>
      <c r="K134" s="12"/>
      <c r="L134" s="12"/>
      <c r="AE134" s="46"/>
      <c r="AF134" s="46"/>
      <c r="AH134" s="46"/>
    </row>
    <row r="135" spans="1:34">
      <c r="A135" s="106" t="s">
        <v>332</v>
      </c>
      <c r="B135" s="12">
        <v>195281.65</v>
      </c>
      <c r="C135" s="12"/>
      <c r="D135" s="14"/>
      <c r="E135" s="12"/>
      <c r="F135" s="14">
        <v>-29292</v>
      </c>
      <c r="G135" s="12"/>
      <c r="H135" s="12"/>
      <c r="I135" s="12"/>
      <c r="J135" s="13">
        <f t="shared" si="8"/>
        <v>165989.65</v>
      </c>
      <c r="K135" s="12"/>
      <c r="L135" s="12"/>
      <c r="AE135" s="46"/>
      <c r="AF135" s="46"/>
      <c r="AH135" s="46"/>
    </row>
    <row r="136" spans="1:34">
      <c r="A136" s="106" t="s">
        <v>334</v>
      </c>
      <c r="B136" s="12">
        <v>48889</v>
      </c>
      <c r="C136" s="12"/>
      <c r="D136" s="14"/>
      <c r="E136" s="12"/>
      <c r="F136" s="14">
        <v>-7333</v>
      </c>
      <c r="G136" s="12"/>
      <c r="H136" s="12"/>
      <c r="I136" s="12"/>
      <c r="J136" s="13">
        <f t="shared" si="8"/>
        <v>41556</v>
      </c>
      <c r="K136" s="12"/>
      <c r="L136" s="12"/>
      <c r="AE136" s="46"/>
      <c r="AF136" s="46"/>
      <c r="AH136" s="46"/>
    </row>
    <row r="137" spans="1:34">
      <c r="A137" s="106" t="s">
        <v>329</v>
      </c>
      <c r="B137" s="12">
        <v>78422.5</v>
      </c>
      <c r="C137" s="12"/>
      <c r="D137" s="14"/>
      <c r="E137" s="12"/>
      <c r="F137" s="14">
        <v>-11763</v>
      </c>
      <c r="G137" s="12"/>
      <c r="H137" s="12"/>
      <c r="I137" s="12"/>
      <c r="J137" s="13">
        <f t="shared" si="8"/>
        <v>66659.5</v>
      </c>
      <c r="K137" s="12"/>
      <c r="L137" s="12"/>
      <c r="AE137" s="46"/>
      <c r="AF137" s="46"/>
      <c r="AH137" s="46"/>
    </row>
    <row r="138" spans="1:34">
      <c r="A138" s="106" t="s">
        <v>335</v>
      </c>
      <c r="B138" s="12">
        <v>242566.78999999998</v>
      </c>
      <c r="C138" s="12"/>
      <c r="D138" s="14"/>
      <c r="E138" s="12"/>
      <c r="F138" s="14">
        <v>-36385</v>
      </c>
      <c r="G138" s="12"/>
      <c r="H138" s="12"/>
      <c r="I138" s="12"/>
      <c r="J138" s="13">
        <f t="shared" si="8"/>
        <v>206181.78999999998</v>
      </c>
      <c r="K138" s="12"/>
      <c r="L138" s="12"/>
      <c r="AE138" s="46"/>
      <c r="AF138" s="46"/>
      <c r="AH138" s="46"/>
    </row>
    <row r="139" spans="1:34">
      <c r="A139" s="106" t="s">
        <v>330</v>
      </c>
      <c r="B139" s="12">
        <v>469047.12</v>
      </c>
      <c r="C139" s="12"/>
      <c r="D139" s="14"/>
      <c r="E139" s="12"/>
      <c r="F139" s="14">
        <v>-70357</v>
      </c>
      <c r="G139" s="12"/>
      <c r="H139" s="12"/>
      <c r="I139" s="12"/>
      <c r="J139" s="13">
        <f t="shared" si="8"/>
        <v>398690.12</v>
      </c>
      <c r="K139" s="12"/>
      <c r="L139" s="12"/>
      <c r="AE139" s="46"/>
      <c r="AF139" s="46"/>
      <c r="AH139" s="46"/>
    </row>
    <row r="140" spans="1:34">
      <c r="A140" s="106" t="s">
        <v>594</v>
      </c>
      <c r="B140" s="12">
        <v>1530460</v>
      </c>
      <c r="C140" s="12"/>
      <c r="D140" s="14"/>
      <c r="E140" s="12"/>
      <c r="F140" s="14">
        <v>-229569</v>
      </c>
      <c r="G140" s="12"/>
      <c r="H140" s="12"/>
      <c r="I140" s="12"/>
      <c r="J140" s="13">
        <f t="shared" si="8"/>
        <v>1300891</v>
      </c>
      <c r="K140" s="12"/>
      <c r="L140" s="12"/>
      <c r="AE140" s="46"/>
      <c r="AF140" s="46"/>
      <c r="AH140" s="46"/>
    </row>
    <row r="141" spans="1:34">
      <c r="A141" s="106"/>
      <c r="B141" s="12"/>
      <c r="C141" s="12"/>
      <c r="D141" s="14"/>
      <c r="E141" s="12"/>
      <c r="F141" s="12"/>
      <c r="G141" s="12"/>
      <c r="H141" s="12"/>
      <c r="I141" s="12"/>
      <c r="J141" s="12"/>
      <c r="K141" s="12"/>
      <c r="L141" s="12"/>
      <c r="AE141" s="46"/>
      <c r="AF141" s="46"/>
      <c r="AH141" s="46"/>
    </row>
    <row r="142" spans="1:34">
      <c r="A142" s="130" t="s">
        <v>345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AE142" s="46"/>
      <c r="AF142" s="46"/>
      <c r="AH142" s="46"/>
    </row>
    <row r="143" spans="1:34">
      <c r="A143" s="106" t="s">
        <v>326</v>
      </c>
      <c r="B143" s="12">
        <v>1555007.44</v>
      </c>
      <c r="C143" s="14"/>
      <c r="D143" s="14"/>
      <c r="E143" s="14">
        <v>11937</v>
      </c>
      <c r="F143" s="14">
        <v>-235042</v>
      </c>
      <c r="G143" s="14"/>
      <c r="H143" s="14"/>
      <c r="I143" s="14"/>
      <c r="J143" s="13">
        <f t="shared" ref="J143:J148" si="9">SUM(B143:I143)</f>
        <v>1331902.44</v>
      </c>
      <c r="K143" s="14"/>
      <c r="L143" s="14"/>
      <c r="AE143" s="46"/>
      <c r="AF143" s="46"/>
      <c r="AH143" s="46"/>
    </row>
    <row r="144" spans="1:34">
      <c r="A144" s="106" t="s">
        <v>334</v>
      </c>
      <c r="B144" s="12">
        <v>877930</v>
      </c>
      <c r="C144" s="14"/>
      <c r="D144" s="14"/>
      <c r="E144" s="14">
        <v>58432</v>
      </c>
      <c r="F144" s="14">
        <v>-136072</v>
      </c>
      <c r="G144" s="14"/>
      <c r="H144" s="14"/>
      <c r="I144" s="14"/>
      <c r="J144" s="13">
        <f t="shared" si="9"/>
        <v>800290</v>
      </c>
      <c r="K144" s="14"/>
      <c r="L144" s="14"/>
      <c r="AE144" s="46"/>
      <c r="AF144" s="46"/>
      <c r="AH144" s="46"/>
    </row>
    <row r="145" spans="1:34">
      <c r="A145" s="106" t="s">
        <v>329</v>
      </c>
      <c r="B145" s="12">
        <v>251254.99</v>
      </c>
      <c r="C145" s="14"/>
      <c r="D145" s="14"/>
      <c r="E145" s="14"/>
      <c r="F145" s="14">
        <v>-37688</v>
      </c>
      <c r="G145" s="14"/>
      <c r="H145" s="14"/>
      <c r="I145" s="14"/>
      <c r="J145" s="13">
        <f t="shared" si="9"/>
        <v>213566.99</v>
      </c>
      <c r="K145" s="14"/>
      <c r="L145" s="14"/>
      <c r="AE145" s="46"/>
      <c r="AF145" s="46"/>
      <c r="AH145" s="46"/>
    </row>
    <row r="146" spans="1:34">
      <c r="A146" s="106" t="s">
        <v>335</v>
      </c>
      <c r="B146" s="12">
        <v>25798.67</v>
      </c>
      <c r="C146" s="14"/>
      <c r="D146" s="14"/>
      <c r="E146" s="14"/>
      <c r="F146" s="14">
        <v>-3870</v>
      </c>
      <c r="G146" s="14"/>
      <c r="H146" s="14"/>
      <c r="I146" s="14"/>
      <c r="J146" s="13">
        <f t="shared" si="9"/>
        <v>21928.67</v>
      </c>
      <c r="K146" s="14"/>
      <c r="L146" s="14"/>
      <c r="AE146" s="46"/>
      <c r="AF146" s="46"/>
      <c r="AH146" s="46"/>
    </row>
    <row r="147" spans="1:34">
      <c r="A147" s="106" t="s">
        <v>594</v>
      </c>
      <c r="B147" s="12">
        <v>853139</v>
      </c>
      <c r="C147" s="14"/>
      <c r="D147" s="14"/>
      <c r="E147" s="14">
        <v>8902</v>
      </c>
      <c r="F147" s="14">
        <v>-128639</v>
      </c>
      <c r="G147" s="14"/>
      <c r="H147" s="14"/>
      <c r="I147" s="14"/>
      <c r="J147" s="13">
        <f t="shared" si="9"/>
        <v>733402</v>
      </c>
      <c r="K147" s="14"/>
      <c r="L147" s="14"/>
      <c r="AE147" s="46"/>
      <c r="AF147" s="46"/>
      <c r="AH147" s="46"/>
    </row>
    <row r="148" spans="1:34">
      <c r="A148" s="106" t="s">
        <v>278</v>
      </c>
      <c r="B148" s="12">
        <v>57773</v>
      </c>
      <c r="C148" s="14"/>
      <c r="D148" s="14"/>
      <c r="E148" s="14">
        <v>58039</v>
      </c>
      <c r="F148" s="14">
        <v>-13860</v>
      </c>
      <c r="G148" s="14"/>
      <c r="H148" s="14"/>
      <c r="I148" s="14"/>
      <c r="J148" s="13">
        <f t="shared" si="9"/>
        <v>101952</v>
      </c>
      <c r="K148" s="14"/>
      <c r="L148" s="14"/>
      <c r="AE148" s="46"/>
      <c r="AF148" s="46"/>
      <c r="AH148" s="46"/>
    </row>
    <row r="149" spans="1:34">
      <c r="A149" s="106"/>
      <c r="B149" s="12"/>
      <c r="C149" s="12"/>
      <c r="D149" s="14"/>
      <c r="E149" s="12"/>
      <c r="F149" s="12"/>
      <c r="G149" s="12"/>
      <c r="H149" s="12"/>
      <c r="I149" s="12"/>
      <c r="J149" s="12"/>
      <c r="K149" s="12"/>
      <c r="L149" s="12"/>
      <c r="AE149" s="46"/>
      <c r="AF149" s="46"/>
      <c r="AH149" s="46"/>
    </row>
    <row r="150" spans="1:34">
      <c r="A150" s="130" t="s">
        <v>336</v>
      </c>
      <c r="B150" s="12" t="s">
        <v>544</v>
      </c>
      <c r="C150" s="12"/>
      <c r="D150" s="14"/>
      <c r="E150" s="12"/>
      <c r="F150" s="12"/>
      <c r="G150" s="12"/>
      <c r="H150" s="12"/>
      <c r="I150" s="12"/>
      <c r="J150" s="12" t="s">
        <v>544</v>
      </c>
      <c r="K150" s="12"/>
      <c r="L150" s="12"/>
      <c r="AE150" s="46"/>
      <c r="AF150" s="46"/>
      <c r="AH150" s="46"/>
    </row>
    <row r="151" spans="1:34">
      <c r="A151" s="106" t="s">
        <v>326</v>
      </c>
      <c r="B151" s="12">
        <v>288896.87</v>
      </c>
      <c r="C151" s="12"/>
      <c r="D151" s="12"/>
      <c r="E151" s="12"/>
      <c r="F151" s="12">
        <v>-43335</v>
      </c>
      <c r="G151" s="12"/>
      <c r="H151" s="12"/>
      <c r="I151" s="12"/>
      <c r="J151" s="13">
        <f t="shared" ref="J151:J156" si="10">SUM(B151:I151)</f>
        <v>245561.87</v>
      </c>
      <c r="K151" s="12"/>
      <c r="L151" s="12"/>
      <c r="AE151" s="46"/>
      <c r="AF151" s="46"/>
      <c r="AH151" s="46"/>
    </row>
    <row r="152" spans="1:34">
      <c r="A152" s="106" t="s">
        <v>332</v>
      </c>
      <c r="B152" s="12">
        <v>117383</v>
      </c>
      <c r="C152" s="12"/>
      <c r="D152" s="12"/>
      <c r="E152" s="12"/>
      <c r="F152" s="12">
        <v>-17607</v>
      </c>
      <c r="G152" s="12"/>
      <c r="H152" s="12"/>
      <c r="I152" s="12"/>
      <c r="J152" s="13">
        <f t="shared" si="10"/>
        <v>99776</v>
      </c>
      <c r="K152" s="12"/>
      <c r="L152" s="12"/>
      <c r="AE152" s="46"/>
      <c r="AF152" s="46"/>
      <c r="AH152" s="46"/>
    </row>
    <row r="153" spans="1:34">
      <c r="A153" s="106" t="s">
        <v>334</v>
      </c>
      <c r="B153" s="12">
        <v>1373826</v>
      </c>
      <c r="C153" s="12"/>
      <c r="D153" s="12"/>
      <c r="E153" s="12">
        <v>40890</v>
      </c>
      <c r="F153" s="12">
        <v>-211935</v>
      </c>
      <c r="G153" s="12"/>
      <c r="H153" s="12"/>
      <c r="I153" s="12"/>
      <c r="J153" s="13">
        <f t="shared" si="10"/>
        <v>1202781</v>
      </c>
      <c r="K153" s="12"/>
      <c r="L153" s="12"/>
      <c r="AE153" s="46"/>
      <c r="AF153" s="46"/>
      <c r="AH153" s="46"/>
    </row>
    <row r="154" spans="1:34">
      <c r="A154" s="106" t="s">
        <v>329</v>
      </c>
      <c r="B154" s="12">
        <v>31186</v>
      </c>
      <c r="C154" s="12"/>
      <c r="D154" s="12"/>
      <c r="E154" s="12"/>
      <c r="F154" s="12">
        <v>-4678</v>
      </c>
      <c r="G154" s="12"/>
      <c r="H154" s="12"/>
      <c r="I154" s="12"/>
      <c r="J154" s="13">
        <f t="shared" si="10"/>
        <v>26508</v>
      </c>
      <c r="K154" s="12"/>
      <c r="L154" s="12"/>
      <c r="AE154" s="46"/>
      <c r="AF154" s="46"/>
      <c r="AH154" s="46"/>
    </row>
    <row r="155" spans="1:34">
      <c r="A155" s="106" t="s">
        <v>335</v>
      </c>
      <c r="B155" s="12">
        <v>229711.44</v>
      </c>
      <c r="C155" s="12"/>
      <c r="D155" s="12"/>
      <c r="E155" s="12"/>
      <c r="F155" s="12">
        <v>-34457</v>
      </c>
      <c r="G155" s="12"/>
      <c r="H155" s="12"/>
      <c r="I155" s="12"/>
      <c r="J155" s="13">
        <f t="shared" si="10"/>
        <v>195254.44</v>
      </c>
      <c r="K155" s="12"/>
      <c r="L155" s="12"/>
      <c r="AE155" s="46"/>
      <c r="AF155" s="46"/>
      <c r="AH155" s="46"/>
    </row>
    <row r="156" spans="1:34">
      <c r="A156" s="106" t="s">
        <v>337</v>
      </c>
      <c r="B156" s="12">
        <v>14147</v>
      </c>
      <c r="C156" s="12"/>
      <c r="D156" s="12"/>
      <c r="E156" s="12"/>
      <c r="F156" s="12">
        <v>-2122</v>
      </c>
      <c r="G156" s="12"/>
      <c r="H156" s="12"/>
      <c r="I156" s="12"/>
      <c r="J156" s="13">
        <f t="shared" si="10"/>
        <v>12025</v>
      </c>
      <c r="K156" s="12"/>
      <c r="L156" s="12"/>
      <c r="AE156" s="46"/>
      <c r="AF156" s="46"/>
      <c r="AH156" s="46"/>
    </row>
    <row r="157" spans="1:34">
      <c r="A157" s="106"/>
      <c r="B157" s="12" t="s">
        <v>544</v>
      </c>
      <c r="C157" s="12"/>
      <c r="D157" s="14"/>
      <c r="E157" s="12"/>
      <c r="F157" s="12"/>
      <c r="G157" s="12"/>
      <c r="H157" s="12"/>
      <c r="I157" s="12"/>
      <c r="J157" s="12" t="s">
        <v>544</v>
      </c>
      <c r="K157" s="12"/>
      <c r="L157" s="12"/>
      <c r="AE157" s="46"/>
      <c r="AF157" s="46"/>
      <c r="AH157" s="46"/>
    </row>
    <row r="158" spans="1:34">
      <c r="A158" s="130" t="s">
        <v>341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AE158" s="46"/>
      <c r="AF158" s="46"/>
      <c r="AH158" s="46"/>
    </row>
    <row r="159" spans="1:34">
      <c r="A159" s="106" t="s">
        <v>326</v>
      </c>
      <c r="B159" s="12">
        <v>154044</v>
      </c>
      <c r="C159" s="12"/>
      <c r="D159" s="14"/>
      <c r="E159" s="12"/>
      <c r="F159" s="71">
        <v>-23107</v>
      </c>
      <c r="G159" s="71"/>
      <c r="H159" s="12"/>
      <c r="I159" s="12"/>
      <c r="J159" s="13">
        <f>SUM(B159:I159)</f>
        <v>130937</v>
      </c>
      <c r="K159" s="12"/>
      <c r="L159" s="12"/>
      <c r="AE159" s="46"/>
      <c r="AF159" s="46"/>
      <c r="AH159" s="46"/>
    </row>
    <row r="160" spans="1:34">
      <c r="A160" s="106"/>
      <c r="B160" s="12" t="s">
        <v>544</v>
      </c>
      <c r="C160" s="12"/>
      <c r="D160" s="14"/>
      <c r="E160" s="12"/>
      <c r="F160" s="12"/>
      <c r="G160" s="12"/>
      <c r="H160" s="12"/>
      <c r="I160" s="12"/>
      <c r="J160" s="12" t="s">
        <v>544</v>
      </c>
      <c r="K160" s="12"/>
      <c r="L160" s="12"/>
      <c r="AE160" s="46"/>
      <c r="AF160" s="46"/>
      <c r="AH160" s="46"/>
    </row>
    <row r="161" spans="1:34">
      <c r="A161" s="130" t="s">
        <v>342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AE161" s="46"/>
      <c r="AF161" s="46"/>
      <c r="AH161" s="46"/>
    </row>
    <row r="162" spans="1:34">
      <c r="A162" s="106" t="s">
        <v>326</v>
      </c>
      <c r="B162" s="12">
        <v>2364848.98</v>
      </c>
      <c r="C162" s="12"/>
      <c r="D162" s="14"/>
      <c r="E162" s="14">
        <v>745771</v>
      </c>
      <c r="F162" s="14">
        <v>-411094</v>
      </c>
      <c r="G162" s="12"/>
      <c r="H162" s="12"/>
      <c r="I162" s="12"/>
      <c r="J162" s="13">
        <f t="shared" ref="J162:J172" si="11">SUM(B162:I162)</f>
        <v>2699525.98</v>
      </c>
      <c r="K162" s="12"/>
      <c r="L162" s="12"/>
      <c r="AE162" s="46"/>
      <c r="AF162" s="46"/>
      <c r="AH162" s="46"/>
    </row>
    <row r="163" spans="1:34">
      <c r="A163" s="106" t="s">
        <v>573</v>
      </c>
      <c r="B163" s="12">
        <v>335996</v>
      </c>
      <c r="C163" s="12"/>
      <c r="D163" s="14"/>
      <c r="E163" s="14">
        <v>24980</v>
      </c>
      <c r="F163" s="14">
        <v>-52273</v>
      </c>
      <c r="G163" s="12"/>
      <c r="H163" s="12"/>
      <c r="I163" s="12"/>
      <c r="J163" s="13">
        <f t="shared" si="11"/>
        <v>308703</v>
      </c>
      <c r="K163" s="12"/>
      <c r="L163" s="12"/>
      <c r="AE163" s="46"/>
      <c r="AF163" s="46"/>
      <c r="AH163" s="46"/>
    </row>
    <row r="164" spans="1:34">
      <c r="A164" s="106" t="s">
        <v>278</v>
      </c>
      <c r="B164" s="12">
        <v>580378.69999999995</v>
      </c>
      <c r="C164" s="12"/>
      <c r="D164" s="14"/>
      <c r="E164" s="14"/>
      <c r="F164" s="14">
        <f>-60371-10971-15715</f>
        <v>-87057</v>
      </c>
      <c r="G164" s="12"/>
      <c r="H164" s="12"/>
      <c r="I164" s="12"/>
      <c r="J164" s="13">
        <f t="shared" si="11"/>
        <v>493321.69999999995</v>
      </c>
      <c r="K164" s="12"/>
      <c r="L164" s="12"/>
      <c r="AE164" s="46"/>
      <c r="AF164" s="46"/>
      <c r="AH164" s="46"/>
    </row>
    <row r="165" spans="1:34">
      <c r="A165" s="106" t="s">
        <v>332</v>
      </c>
      <c r="B165" s="12">
        <v>500789</v>
      </c>
      <c r="C165" s="12"/>
      <c r="D165" s="14"/>
      <c r="E165" s="14"/>
      <c r="F165" s="14">
        <v>-75118</v>
      </c>
      <c r="G165" s="12"/>
      <c r="H165" s="12"/>
      <c r="I165" s="12"/>
      <c r="J165" s="13">
        <f t="shared" si="11"/>
        <v>425671</v>
      </c>
      <c r="K165" s="12"/>
      <c r="L165" s="12"/>
      <c r="AE165" s="46"/>
      <c r="AF165" s="46"/>
      <c r="AH165" s="46"/>
    </row>
    <row r="166" spans="1:34">
      <c r="A166" s="106" t="s">
        <v>334</v>
      </c>
      <c r="B166" s="12">
        <v>1097023</v>
      </c>
      <c r="C166" s="12"/>
      <c r="D166" s="14"/>
      <c r="E166" s="14"/>
      <c r="F166" s="14">
        <f>-119549-45004</f>
        <v>-164553</v>
      </c>
      <c r="G166" s="12"/>
      <c r="H166" s="12"/>
      <c r="I166" s="12"/>
      <c r="J166" s="13">
        <f t="shared" si="11"/>
        <v>932470</v>
      </c>
      <c r="K166" s="12"/>
      <c r="L166" s="12"/>
      <c r="AE166" s="116"/>
      <c r="AF166" s="46"/>
      <c r="AH166" s="46"/>
    </row>
    <row r="167" spans="1:34">
      <c r="A167" s="106" t="s">
        <v>329</v>
      </c>
      <c r="B167" s="12">
        <v>458732.60999999987</v>
      </c>
      <c r="C167" s="12"/>
      <c r="D167" s="14"/>
      <c r="E167" s="14">
        <v>18103</v>
      </c>
      <c r="F167" s="14">
        <v>-70168</v>
      </c>
      <c r="G167" s="12"/>
      <c r="H167" s="12"/>
      <c r="I167" s="12"/>
      <c r="J167" s="13">
        <f t="shared" si="11"/>
        <v>406667.60999999987</v>
      </c>
      <c r="K167" s="12"/>
      <c r="L167" s="12"/>
      <c r="AE167" s="46"/>
      <c r="AF167" s="46"/>
      <c r="AH167" s="46"/>
    </row>
    <row r="168" spans="1:34">
      <c r="A168" s="106" t="s">
        <v>335</v>
      </c>
      <c r="B168" s="12">
        <v>388820.22</v>
      </c>
      <c r="C168" s="12"/>
      <c r="D168" s="12"/>
      <c r="E168" s="14">
        <v>9500</v>
      </c>
      <c r="F168" s="14">
        <v>-59036</v>
      </c>
      <c r="G168" s="12"/>
      <c r="H168" s="12"/>
      <c r="I168" s="12"/>
      <c r="J168" s="13">
        <f t="shared" si="11"/>
        <v>339284.22</v>
      </c>
      <c r="K168" s="12"/>
      <c r="L168" s="12"/>
      <c r="AE168" s="131"/>
      <c r="AF168" s="131"/>
      <c r="AH168" s="46"/>
    </row>
    <row r="169" spans="1:34">
      <c r="A169" s="106" t="s">
        <v>560</v>
      </c>
      <c r="B169" s="12">
        <v>82363</v>
      </c>
      <c r="C169" s="12"/>
      <c r="D169" s="12"/>
      <c r="E169" s="12"/>
      <c r="F169" s="14">
        <v>-12354</v>
      </c>
      <c r="G169" s="12"/>
      <c r="H169" s="12"/>
      <c r="I169" s="12"/>
      <c r="J169" s="13">
        <f t="shared" si="11"/>
        <v>70009</v>
      </c>
      <c r="K169" s="12"/>
      <c r="L169" s="12"/>
      <c r="AE169" s="46"/>
      <c r="AF169" s="46"/>
      <c r="AH169" s="46"/>
    </row>
    <row r="170" spans="1:34">
      <c r="A170" s="106" t="s">
        <v>561</v>
      </c>
      <c r="B170" s="12">
        <v>362940.34</v>
      </c>
      <c r="C170" s="12"/>
      <c r="D170" s="12"/>
      <c r="E170" s="12"/>
      <c r="F170" s="14">
        <v>-54441</v>
      </c>
      <c r="G170" s="12"/>
      <c r="H170" s="12"/>
      <c r="I170" s="12"/>
      <c r="J170" s="13">
        <f t="shared" si="11"/>
        <v>308499.34000000003</v>
      </c>
      <c r="K170" s="12"/>
      <c r="L170" s="12"/>
      <c r="AE170" s="46"/>
      <c r="AF170" s="46"/>
      <c r="AH170" s="46"/>
    </row>
    <row r="171" spans="1:34">
      <c r="A171" s="106" t="s">
        <v>50</v>
      </c>
      <c r="B171" s="12">
        <v>70854.559999999998</v>
      </c>
      <c r="C171" s="12"/>
      <c r="D171" s="14"/>
      <c r="E171" s="12"/>
      <c r="F171" s="14">
        <v>-10628</v>
      </c>
      <c r="G171" s="12"/>
      <c r="H171" s="12"/>
      <c r="I171" s="12"/>
      <c r="J171" s="13">
        <f t="shared" si="11"/>
        <v>60226.559999999998</v>
      </c>
      <c r="K171" s="12"/>
      <c r="L171" s="12"/>
      <c r="AE171" s="46"/>
      <c r="AF171" s="46"/>
      <c r="AH171" s="46"/>
    </row>
    <row r="172" spans="1:34">
      <c r="A172" s="106" t="s">
        <v>330</v>
      </c>
      <c r="B172" s="12">
        <v>439086.48</v>
      </c>
      <c r="C172" s="12"/>
      <c r="D172" s="14"/>
      <c r="E172" s="14">
        <v>7200</v>
      </c>
      <c r="F172" s="14">
        <v>-68024</v>
      </c>
      <c r="G172" s="12"/>
      <c r="H172" s="12"/>
      <c r="I172" s="12"/>
      <c r="J172" s="13">
        <f t="shared" si="11"/>
        <v>378262.48</v>
      </c>
      <c r="K172" s="12"/>
      <c r="L172" s="12"/>
      <c r="AE172" s="46"/>
      <c r="AF172" s="46"/>
      <c r="AH172" s="46"/>
    </row>
    <row r="173" spans="1:34">
      <c r="A173" s="106"/>
      <c r="B173" s="12" t="s">
        <v>544</v>
      </c>
      <c r="C173" s="12"/>
      <c r="D173" s="14"/>
      <c r="E173" s="12"/>
      <c r="F173" s="12"/>
      <c r="G173" s="12"/>
      <c r="H173" s="12"/>
      <c r="I173" s="12"/>
      <c r="J173" s="12" t="s">
        <v>544</v>
      </c>
      <c r="K173" s="12"/>
      <c r="L173" s="12"/>
      <c r="AE173" s="46"/>
      <c r="AF173" s="46"/>
      <c r="AH173" s="46"/>
    </row>
    <row r="174" spans="1:34">
      <c r="A174" s="130" t="s">
        <v>343</v>
      </c>
      <c r="B174" s="12"/>
      <c r="C174" s="12"/>
      <c r="D174" s="14"/>
      <c r="E174" s="14"/>
      <c r="F174" s="14"/>
      <c r="G174" s="14"/>
      <c r="H174" s="14"/>
      <c r="I174" s="14"/>
      <c r="J174" s="12"/>
      <c r="K174" s="14"/>
      <c r="L174" s="14"/>
      <c r="AE174" s="46"/>
      <c r="AF174" s="46"/>
      <c r="AH174" s="46"/>
    </row>
    <row r="175" spans="1:34">
      <c r="A175" s="106" t="s">
        <v>326</v>
      </c>
      <c r="B175" s="12">
        <v>46542.85</v>
      </c>
      <c r="C175" s="12"/>
      <c r="D175" s="12"/>
      <c r="E175" s="12"/>
      <c r="F175" s="14">
        <v>-6981</v>
      </c>
      <c r="G175" s="14"/>
      <c r="H175" s="14"/>
      <c r="I175" s="14"/>
      <c r="J175" s="13">
        <f>SUM(B175:I175)</f>
        <v>39561.85</v>
      </c>
      <c r="K175" s="14"/>
      <c r="L175" s="14"/>
      <c r="AE175" s="46"/>
      <c r="AF175" s="46"/>
      <c r="AH175" s="46"/>
    </row>
    <row r="176" spans="1:34">
      <c r="A176" s="106" t="s">
        <v>332</v>
      </c>
      <c r="B176" s="12">
        <v>1607</v>
      </c>
      <c r="C176" s="12"/>
      <c r="D176" s="12"/>
      <c r="E176" s="12"/>
      <c r="F176" s="14">
        <v>-964</v>
      </c>
      <c r="G176" s="14"/>
      <c r="H176" s="14"/>
      <c r="I176" s="14"/>
      <c r="J176" s="13">
        <f>SUM(B176:I176)</f>
        <v>643</v>
      </c>
      <c r="K176" s="14"/>
      <c r="L176" s="14"/>
      <c r="AE176" s="46"/>
      <c r="AF176" s="46"/>
      <c r="AH176" s="46"/>
    </row>
    <row r="177" spans="1:34">
      <c r="A177" s="106" t="s">
        <v>330</v>
      </c>
      <c r="B177" s="12">
        <v>240024</v>
      </c>
      <c r="C177" s="12"/>
      <c r="D177" s="12"/>
      <c r="E177" s="12"/>
      <c r="F177" s="12">
        <v>-144014</v>
      </c>
      <c r="G177" s="12"/>
      <c r="H177" s="14"/>
      <c r="I177" s="14"/>
      <c r="J177" s="13">
        <f>SUM(B177:I177)</f>
        <v>96010</v>
      </c>
      <c r="K177" s="14"/>
      <c r="L177" s="14"/>
      <c r="AE177" s="46"/>
      <c r="AF177" s="46"/>
      <c r="AH177" s="46"/>
    </row>
    <row r="178" spans="1:34">
      <c r="A178" s="106"/>
      <c r="B178" s="12" t="s">
        <v>544</v>
      </c>
      <c r="C178" s="12"/>
      <c r="D178" s="14"/>
      <c r="E178" s="12"/>
      <c r="F178" s="12"/>
      <c r="G178" s="12"/>
      <c r="H178" s="12"/>
      <c r="I178" s="12"/>
      <c r="J178" s="12" t="s">
        <v>544</v>
      </c>
      <c r="K178" s="12"/>
      <c r="L178" s="12"/>
      <c r="AE178" s="46"/>
      <c r="AF178" s="46"/>
      <c r="AH178" s="46"/>
    </row>
    <row r="179" spans="1:34">
      <c r="A179" s="130" t="s">
        <v>346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AE179" s="46"/>
      <c r="AF179" s="46"/>
      <c r="AH179" s="46"/>
    </row>
    <row r="180" spans="1:34">
      <c r="A180" s="106" t="s">
        <v>330</v>
      </c>
      <c r="B180" s="12">
        <f>17042.6+983</f>
        <v>18025.599999999999</v>
      </c>
      <c r="C180" s="12"/>
      <c r="D180" s="12"/>
      <c r="E180" s="12">
        <v>8443</v>
      </c>
      <c r="F180" s="14">
        <f>-3099-90-147</f>
        <v>-3336</v>
      </c>
      <c r="G180" s="14"/>
      <c r="H180" s="14"/>
      <c r="I180" s="14"/>
      <c r="J180" s="13">
        <f>SUM(B180:I180)</f>
        <v>23132.6</v>
      </c>
      <c r="K180" s="14"/>
      <c r="L180" s="14"/>
      <c r="AE180" s="46"/>
      <c r="AF180" s="46"/>
      <c r="AH180" s="46"/>
    </row>
    <row r="181" spans="1:34">
      <c r="A181" s="106"/>
      <c r="B181" s="12" t="s">
        <v>544</v>
      </c>
      <c r="C181" s="12"/>
      <c r="D181" s="14"/>
      <c r="E181" s="12"/>
      <c r="F181" s="12"/>
      <c r="G181" s="12"/>
      <c r="H181" s="12"/>
      <c r="I181" s="12"/>
      <c r="J181" s="12" t="s">
        <v>544</v>
      </c>
      <c r="K181" s="12"/>
      <c r="L181" s="12"/>
      <c r="AE181" s="46"/>
      <c r="AF181" s="46"/>
      <c r="AH181" s="46"/>
    </row>
    <row r="182" spans="1:34">
      <c r="A182" s="130" t="s">
        <v>347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AE182" s="46"/>
      <c r="AF182" s="46"/>
      <c r="AH182" s="46"/>
    </row>
    <row r="183" spans="1:34">
      <c r="A183" s="106" t="s">
        <v>326</v>
      </c>
      <c r="B183" s="12">
        <v>1926010.29</v>
      </c>
      <c r="C183" s="12"/>
      <c r="D183" s="12"/>
      <c r="E183" s="14"/>
      <c r="F183" s="14">
        <v>-288902</v>
      </c>
      <c r="G183" s="14"/>
      <c r="H183" s="14"/>
      <c r="I183" s="14"/>
      <c r="J183" s="13">
        <f t="shared" ref="J183:J190" si="12">SUM(B183:I183)</f>
        <v>1637108.29</v>
      </c>
      <c r="K183" s="14"/>
      <c r="L183" s="14"/>
      <c r="AE183" s="46"/>
      <c r="AF183" s="46"/>
      <c r="AH183" s="46"/>
    </row>
    <row r="184" spans="1:34">
      <c r="A184" s="106" t="s">
        <v>573</v>
      </c>
      <c r="B184" s="12">
        <v>319949</v>
      </c>
      <c r="C184" s="12"/>
      <c r="D184" s="12"/>
      <c r="E184" s="14"/>
      <c r="F184" s="14">
        <v>-47992</v>
      </c>
      <c r="G184" s="14"/>
      <c r="H184" s="14"/>
      <c r="I184" s="14"/>
      <c r="J184" s="13">
        <f t="shared" si="12"/>
        <v>271957</v>
      </c>
      <c r="K184" s="14"/>
      <c r="L184" s="14"/>
      <c r="AE184" s="46"/>
      <c r="AF184" s="46"/>
      <c r="AH184" s="46"/>
    </row>
    <row r="185" spans="1:34">
      <c r="A185" s="106" t="s">
        <v>278</v>
      </c>
      <c r="B185" s="12">
        <v>564960.84</v>
      </c>
      <c r="C185" s="12"/>
      <c r="D185" s="12"/>
      <c r="E185" s="14">
        <v>156930</v>
      </c>
      <c r="F185" s="14">
        <f>-108106-178</f>
        <v>-108284</v>
      </c>
      <c r="G185" s="14"/>
      <c r="H185" s="14"/>
      <c r="I185" s="14"/>
      <c r="J185" s="13">
        <f t="shared" si="12"/>
        <v>613606.84</v>
      </c>
      <c r="K185" s="14"/>
      <c r="L185" s="14"/>
      <c r="AE185" s="46"/>
      <c r="AF185" s="46"/>
      <c r="AH185" s="46"/>
    </row>
    <row r="186" spans="1:34">
      <c r="A186" s="106" t="s">
        <v>332</v>
      </c>
      <c r="B186" s="12">
        <v>386946</v>
      </c>
      <c r="C186" s="12"/>
      <c r="D186" s="12"/>
      <c r="E186" s="14">
        <v>19950</v>
      </c>
      <c r="F186" s="14">
        <v>-59538</v>
      </c>
      <c r="G186" s="14"/>
      <c r="H186" s="14"/>
      <c r="I186" s="14"/>
      <c r="J186" s="13">
        <f t="shared" si="12"/>
        <v>347358</v>
      </c>
      <c r="K186" s="14"/>
      <c r="L186" s="14"/>
      <c r="AE186" s="46"/>
      <c r="AF186" s="46"/>
      <c r="AH186" s="46"/>
    </row>
    <row r="187" spans="1:34">
      <c r="A187" s="106" t="s">
        <v>334</v>
      </c>
      <c r="B187" s="12">
        <v>206486</v>
      </c>
      <c r="C187" s="12"/>
      <c r="D187" s="12"/>
      <c r="E187" s="14"/>
      <c r="F187" s="14">
        <v>-30973</v>
      </c>
      <c r="G187" s="14"/>
      <c r="H187" s="14"/>
      <c r="I187" s="14"/>
      <c r="J187" s="13">
        <f t="shared" si="12"/>
        <v>175513</v>
      </c>
      <c r="K187" s="14"/>
      <c r="L187" s="14"/>
      <c r="AE187" s="46"/>
      <c r="AF187" s="46"/>
      <c r="AH187" s="46"/>
    </row>
    <row r="188" spans="1:34">
      <c r="A188" s="106" t="s">
        <v>335</v>
      </c>
      <c r="B188" s="12">
        <v>1092075.98</v>
      </c>
      <c r="C188" s="12"/>
      <c r="D188" s="12"/>
      <c r="E188" s="14"/>
      <c r="F188" s="14">
        <v>-163811</v>
      </c>
      <c r="G188" s="14"/>
      <c r="H188" s="14"/>
      <c r="I188" s="14"/>
      <c r="J188" s="13">
        <f t="shared" si="12"/>
        <v>928264.98</v>
      </c>
      <c r="K188" s="14"/>
      <c r="L188" s="14"/>
      <c r="AE188" s="46"/>
      <c r="AF188" s="46"/>
      <c r="AH188" s="46"/>
    </row>
    <row r="189" spans="1:34">
      <c r="A189" s="106" t="s">
        <v>330</v>
      </c>
      <c r="B189" s="12">
        <v>1704296</v>
      </c>
      <c r="C189" s="12"/>
      <c r="D189" s="12"/>
      <c r="E189" s="14">
        <v>278000</v>
      </c>
      <c r="F189" s="14">
        <v>-276495</v>
      </c>
      <c r="G189" s="14"/>
      <c r="H189" s="14"/>
      <c r="I189" s="14"/>
      <c r="J189" s="13">
        <f t="shared" si="12"/>
        <v>1705801</v>
      </c>
      <c r="K189" s="14"/>
      <c r="L189" s="14"/>
      <c r="AE189" s="46"/>
      <c r="AF189" s="46"/>
      <c r="AH189" s="46"/>
    </row>
    <row r="190" spans="1:34">
      <c r="A190" s="106" t="s">
        <v>257</v>
      </c>
      <c r="B190" s="12">
        <v>28471195</v>
      </c>
      <c r="C190" s="12"/>
      <c r="D190" s="12"/>
      <c r="E190" s="14"/>
      <c r="F190" s="14">
        <f>-3528314-563504-178862</f>
        <v>-4270680</v>
      </c>
      <c r="G190" s="14"/>
      <c r="H190" s="14"/>
      <c r="I190" s="14"/>
      <c r="J190" s="13">
        <f t="shared" si="12"/>
        <v>24200515</v>
      </c>
      <c r="K190" s="14"/>
      <c r="L190" s="14"/>
      <c r="AE190" s="46"/>
      <c r="AF190" s="46"/>
      <c r="AH190" s="46"/>
    </row>
    <row r="191" spans="1:34">
      <c r="A191" s="106"/>
      <c r="B191" s="12" t="s">
        <v>544</v>
      </c>
      <c r="C191" s="12"/>
      <c r="D191" s="14"/>
      <c r="E191" s="12"/>
      <c r="F191" s="12"/>
      <c r="G191" s="12"/>
      <c r="H191" s="12"/>
      <c r="I191" s="12"/>
      <c r="J191" s="12" t="s">
        <v>544</v>
      </c>
      <c r="K191" s="12"/>
      <c r="L191" s="12"/>
      <c r="AE191" s="46"/>
      <c r="AF191" s="46"/>
      <c r="AH191" s="46"/>
    </row>
    <row r="192" spans="1:34">
      <c r="A192" s="130" t="s">
        <v>598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AE192" s="46"/>
      <c r="AF192" s="46"/>
      <c r="AH192" s="46"/>
    </row>
    <row r="193" spans="1:34">
      <c r="A193" s="106" t="s">
        <v>326</v>
      </c>
      <c r="B193" s="12">
        <v>2297186.1</v>
      </c>
      <c r="C193" s="12"/>
      <c r="D193" s="14"/>
      <c r="E193" s="12">
        <v>2124260</v>
      </c>
      <c r="F193" s="14">
        <v>-508210</v>
      </c>
      <c r="G193" s="12"/>
      <c r="H193" s="12"/>
      <c r="I193" s="12"/>
      <c r="J193" s="13">
        <f t="shared" ref="J193:J204" si="13">SUM(B193:I193)</f>
        <v>3913236.0999999996</v>
      </c>
      <c r="K193" s="12"/>
      <c r="L193" s="12"/>
      <c r="AE193" s="46"/>
      <c r="AF193" s="46"/>
      <c r="AH193" s="46"/>
    </row>
    <row r="194" spans="1:34">
      <c r="A194" s="106" t="s">
        <v>573</v>
      </c>
      <c r="B194" s="12">
        <v>772862</v>
      </c>
      <c r="C194" s="12"/>
      <c r="D194" s="14"/>
      <c r="E194" s="14"/>
      <c r="F194" s="14">
        <v>-115929</v>
      </c>
      <c r="G194" s="12"/>
      <c r="H194" s="12"/>
      <c r="I194" s="12"/>
      <c r="J194" s="13">
        <f t="shared" si="13"/>
        <v>656933</v>
      </c>
      <c r="K194" s="12"/>
      <c r="L194" s="12"/>
      <c r="AE194" s="46"/>
      <c r="AF194" s="46"/>
      <c r="AH194" s="46"/>
    </row>
    <row r="195" spans="1:34">
      <c r="A195" s="106" t="s">
        <v>278</v>
      </c>
      <c r="B195" s="12">
        <v>153398</v>
      </c>
      <c r="C195" s="12"/>
      <c r="D195" s="14"/>
      <c r="E195" s="12"/>
      <c r="F195" s="14">
        <f>-21753-1257</f>
        <v>-23010</v>
      </c>
      <c r="G195" s="12"/>
      <c r="H195" s="12"/>
      <c r="I195" s="12"/>
      <c r="J195" s="13">
        <f t="shared" si="13"/>
        <v>130388</v>
      </c>
      <c r="K195" s="12"/>
      <c r="L195" s="12"/>
      <c r="AE195" s="46"/>
      <c r="AF195" s="46"/>
      <c r="AH195" s="46"/>
    </row>
    <row r="196" spans="1:34">
      <c r="A196" s="106" t="s">
        <v>332</v>
      </c>
      <c r="B196" s="12">
        <v>1133263</v>
      </c>
      <c r="C196" s="12"/>
      <c r="D196" s="14"/>
      <c r="E196" s="12">
        <v>92862</v>
      </c>
      <c r="F196" s="14">
        <v>-176954</v>
      </c>
      <c r="G196" s="12"/>
      <c r="H196" s="12"/>
      <c r="I196" s="12"/>
      <c r="J196" s="13">
        <f t="shared" si="13"/>
        <v>1049171</v>
      </c>
      <c r="K196" s="12"/>
      <c r="L196" s="12"/>
      <c r="AE196" s="46"/>
      <c r="AF196" s="46"/>
      <c r="AH196" s="46"/>
    </row>
    <row r="197" spans="1:34">
      <c r="A197" s="106" t="s">
        <v>334</v>
      </c>
      <c r="B197" s="12">
        <v>5835714</v>
      </c>
      <c r="C197" s="12"/>
      <c r="D197" s="14"/>
      <c r="E197" s="14">
        <v>416500</v>
      </c>
      <c r="F197" s="14">
        <v>-907720</v>
      </c>
      <c r="G197" s="12"/>
      <c r="H197" s="12"/>
      <c r="I197" s="12"/>
      <c r="J197" s="13">
        <f t="shared" si="13"/>
        <v>5344494</v>
      </c>
      <c r="K197" s="12"/>
      <c r="L197" s="12"/>
      <c r="AE197" s="46"/>
      <c r="AF197" s="46"/>
      <c r="AH197" s="46"/>
    </row>
    <row r="198" spans="1:34">
      <c r="A198" s="106" t="s">
        <v>329</v>
      </c>
      <c r="B198" s="12">
        <v>822558.05</v>
      </c>
      <c r="C198" s="12"/>
      <c r="D198" s="14"/>
      <c r="E198" s="14">
        <v>131219</v>
      </c>
      <c r="F198" s="14">
        <f>-124757-11007</f>
        <v>-135764</v>
      </c>
      <c r="G198" s="12"/>
      <c r="H198" s="12"/>
      <c r="I198" s="12"/>
      <c r="J198" s="13">
        <f t="shared" si="13"/>
        <v>818013.05</v>
      </c>
      <c r="K198" s="12"/>
      <c r="L198" s="12"/>
      <c r="AE198" s="46"/>
      <c r="AF198" s="46"/>
      <c r="AH198" s="46"/>
    </row>
    <row r="199" spans="1:34">
      <c r="A199" s="106" t="s">
        <v>335</v>
      </c>
      <c r="B199" s="12">
        <v>1535513.94</v>
      </c>
      <c r="C199" s="12"/>
      <c r="D199" s="12"/>
      <c r="E199" s="14">
        <v>215000</v>
      </c>
      <c r="F199" s="14">
        <v>-246452</v>
      </c>
      <c r="G199" s="12"/>
      <c r="H199" s="12"/>
      <c r="I199" s="12"/>
      <c r="J199" s="13">
        <f t="shared" si="13"/>
        <v>1504061.94</v>
      </c>
      <c r="K199" s="12"/>
      <c r="L199" s="12"/>
      <c r="AE199" s="46"/>
      <c r="AF199" s="46"/>
      <c r="AH199" s="46"/>
    </row>
    <row r="200" spans="1:34">
      <c r="A200" s="106" t="s">
        <v>50</v>
      </c>
      <c r="B200" s="12">
        <v>11160264.110000001</v>
      </c>
      <c r="C200" s="12"/>
      <c r="D200" s="12"/>
      <c r="E200" s="14"/>
      <c r="F200" s="14">
        <v>-1674040</v>
      </c>
      <c r="G200" s="12"/>
      <c r="H200" s="12"/>
      <c r="I200" s="12"/>
      <c r="J200" s="13">
        <f t="shared" si="13"/>
        <v>9486224.1100000013</v>
      </c>
      <c r="K200" s="12"/>
      <c r="L200" s="12"/>
      <c r="AE200" s="46"/>
      <c r="AF200" s="46"/>
      <c r="AH200" s="46"/>
    </row>
    <row r="201" spans="1:34">
      <c r="A201" s="106" t="s">
        <v>330</v>
      </c>
      <c r="B201" s="12">
        <v>160482</v>
      </c>
      <c r="C201" s="12"/>
      <c r="D201" s="12"/>
      <c r="E201" s="14"/>
      <c r="F201" s="14">
        <v>-24073</v>
      </c>
      <c r="G201" s="12"/>
      <c r="H201" s="12"/>
      <c r="I201" s="12"/>
      <c r="J201" s="13">
        <f t="shared" si="13"/>
        <v>136409</v>
      </c>
      <c r="K201" s="12"/>
      <c r="L201" s="12"/>
      <c r="AE201" s="46"/>
      <c r="AF201" s="46"/>
      <c r="AH201" s="46"/>
    </row>
    <row r="202" spans="1:34">
      <c r="A202" s="106" t="s">
        <v>560</v>
      </c>
      <c r="B202" s="12">
        <v>265066</v>
      </c>
      <c r="C202" s="12"/>
      <c r="D202" s="12"/>
      <c r="E202" s="14"/>
      <c r="F202" s="14">
        <v>-39760</v>
      </c>
      <c r="G202" s="12"/>
      <c r="H202" s="12"/>
      <c r="I202" s="12"/>
      <c r="J202" s="13">
        <f t="shared" si="13"/>
        <v>225306</v>
      </c>
      <c r="K202" s="12"/>
      <c r="L202" s="12"/>
      <c r="AE202" s="131"/>
      <c r="AF202" s="131"/>
      <c r="AH202" s="46"/>
    </row>
    <row r="203" spans="1:34">
      <c r="A203" s="106" t="s">
        <v>561</v>
      </c>
      <c r="B203" s="12">
        <v>153790.5</v>
      </c>
      <c r="C203" s="12"/>
      <c r="D203" s="12"/>
      <c r="E203" s="12"/>
      <c r="F203" s="14">
        <v>-23069</v>
      </c>
      <c r="G203" s="12"/>
      <c r="H203" s="12"/>
      <c r="I203" s="12"/>
      <c r="J203" s="13">
        <f t="shared" si="13"/>
        <v>130721.5</v>
      </c>
      <c r="K203" s="12"/>
      <c r="L203" s="12"/>
      <c r="AE203" s="46"/>
      <c r="AF203" s="46"/>
      <c r="AH203" s="46"/>
    </row>
    <row r="204" spans="1:34">
      <c r="A204" s="106" t="s">
        <v>594</v>
      </c>
      <c r="B204" s="12">
        <v>141795</v>
      </c>
      <c r="C204" s="12"/>
      <c r="D204" s="12"/>
      <c r="E204" s="12"/>
      <c r="F204" s="14">
        <v>-21269</v>
      </c>
      <c r="G204" s="12"/>
      <c r="H204" s="12"/>
      <c r="I204" s="12"/>
      <c r="J204" s="13">
        <f t="shared" si="13"/>
        <v>120526</v>
      </c>
      <c r="K204" s="12"/>
      <c r="L204" s="12"/>
      <c r="AE204" s="46"/>
      <c r="AF204" s="46"/>
      <c r="AH204" s="46"/>
    </row>
    <row r="205" spans="1:34">
      <c r="A205" s="106"/>
      <c r="B205" s="12"/>
      <c r="C205" s="12"/>
      <c r="D205" s="14"/>
      <c r="E205" s="12"/>
      <c r="F205" s="12"/>
      <c r="G205" s="12"/>
      <c r="H205" s="12"/>
      <c r="I205" s="12"/>
      <c r="J205" s="12"/>
      <c r="K205" s="12"/>
      <c r="L205" s="12"/>
      <c r="AE205" s="46"/>
      <c r="AF205" s="46"/>
      <c r="AH205" s="46"/>
    </row>
    <row r="206" spans="1:34">
      <c r="A206" s="130" t="s">
        <v>352</v>
      </c>
      <c r="B206" s="12"/>
      <c r="C206" s="12"/>
      <c r="D206" s="14"/>
      <c r="E206" s="12"/>
      <c r="F206" s="12"/>
      <c r="G206" s="12"/>
      <c r="H206" s="12"/>
      <c r="I206" s="12"/>
      <c r="J206" s="12"/>
      <c r="K206" s="12"/>
      <c r="L206" s="12"/>
      <c r="AE206" s="46"/>
      <c r="AF206" s="46"/>
      <c r="AH206" s="46"/>
    </row>
    <row r="207" spans="1:34">
      <c r="A207" s="106" t="s">
        <v>330</v>
      </c>
      <c r="B207" s="12">
        <v>76544</v>
      </c>
      <c r="C207" s="12"/>
      <c r="D207" s="12"/>
      <c r="E207" s="12"/>
      <c r="F207" s="12">
        <v>-11482</v>
      </c>
      <c r="G207" s="12"/>
      <c r="H207" s="12"/>
      <c r="I207" s="12"/>
      <c r="J207" s="13">
        <f>SUM(B207:I207)</f>
        <v>65062</v>
      </c>
      <c r="K207" s="12"/>
      <c r="L207" s="12"/>
      <c r="AE207" s="131"/>
      <c r="AF207" s="131"/>
      <c r="AH207" s="46"/>
    </row>
    <row r="208" spans="1:34">
      <c r="A208" s="106"/>
      <c r="B208" s="12" t="s">
        <v>544</v>
      </c>
      <c r="C208" s="12"/>
      <c r="D208" s="14"/>
      <c r="E208" s="12"/>
      <c r="F208" s="12"/>
      <c r="G208" s="12"/>
      <c r="H208" s="12"/>
      <c r="I208" s="12"/>
      <c r="J208" s="12" t="s">
        <v>544</v>
      </c>
      <c r="K208" s="12"/>
      <c r="L208" s="12"/>
      <c r="AE208" s="46"/>
      <c r="AF208" s="46"/>
      <c r="AH208" s="46"/>
    </row>
    <row r="209" spans="1:34">
      <c r="A209" s="130" t="s">
        <v>354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AE209" s="46"/>
      <c r="AF209" s="46"/>
      <c r="AH209" s="46"/>
    </row>
    <row r="210" spans="1:34">
      <c r="A210" s="106" t="s">
        <v>326</v>
      </c>
      <c r="B210" s="12">
        <v>1072873.1000000001</v>
      </c>
      <c r="C210" s="12"/>
      <c r="D210" s="12"/>
      <c r="E210" s="12"/>
      <c r="F210" s="14">
        <v>-160931</v>
      </c>
      <c r="G210" s="12"/>
      <c r="H210" s="12"/>
      <c r="I210" s="12"/>
      <c r="J210" s="13">
        <f t="shared" ref="J210:J218" si="14">SUM(B210:I210)</f>
        <v>911942.10000000009</v>
      </c>
      <c r="K210" s="12"/>
      <c r="L210" s="12"/>
      <c r="AE210" s="46"/>
      <c r="AF210" s="46"/>
      <c r="AH210" s="46"/>
    </row>
    <row r="211" spans="1:34">
      <c r="A211" s="106" t="s">
        <v>573</v>
      </c>
      <c r="B211" s="12">
        <v>256399</v>
      </c>
      <c r="C211" s="12"/>
      <c r="D211" s="12"/>
      <c r="E211" s="14"/>
      <c r="F211" s="14">
        <v>-38460</v>
      </c>
      <c r="G211" s="12"/>
      <c r="H211" s="12"/>
      <c r="I211" s="12"/>
      <c r="J211" s="13">
        <f t="shared" si="14"/>
        <v>217939</v>
      </c>
      <c r="K211" s="12"/>
      <c r="L211" s="12"/>
      <c r="AE211" s="46"/>
      <c r="AF211" s="46"/>
      <c r="AH211" s="46"/>
    </row>
    <row r="212" spans="1:34">
      <c r="A212" s="106" t="s">
        <v>278</v>
      </c>
      <c r="B212" s="12">
        <v>863318.42</v>
      </c>
      <c r="C212" s="12"/>
      <c r="D212" s="12"/>
      <c r="E212" s="14"/>
      <c r="F212" s="14">
        <v>-129498</v>
      </c>
      <c r="G212" s="12"/>
      <c r="H212" s="12"/>
      <c r="I212" s="12"/>
      <c r="J212" s="13">
        <f t="shared" si="14"/>
        <v>733820.42</v>
      </c>
      <c r="K212" s="12"/>
      <c r="L212" s="12"/>
      <c r="AE212" s="46"/>
      <c r="AF212" s="46"/>
      <c r="AH212" s="46"/>
    </row>
    <row r="213" spans="1:34">
      <c r="A213" s="106" t="s">
        <v>334</v>
      </c>
      <c r="B213" s="12">
        <v>1495567</v>
      </c>
      <c r="C213" s="12"/>
      <c r="D213" s="12"/>
      <c r="E213" s="14"/>
      <c r="F213" s="14">
        <v>-224335</v>
      </c>
      <c r="G213" s="12"/>
      <c r="H213" s="12"/>
      <c r="I213" s="12"/>
      <c r="J213" s="13">
        <f t="shared" si="14"/>
        <v>1271232</v>
      </c>
      <c r="K213" s="12"/>
      <c r="L213" s="12"/>
      <c r="AE213" s="46"/>
      <c r="AF213" s="46"/>
      <c r="AH213" s="46"/>
    </row>
    <row r="214" spans="1:34">
      <c r="A214" s="106" t="s">
        <v>335</v>
      </c>
      <c r="B214" s="12">
        <v>182428.69</v>
      </c>
      <c r="C214" s="12"/>
      <c r="D214" s="12"/>
      <c r="E214" s="14"/>
      <c r="F214" s="14">
        <v>-27364</v>
      </c>
      <c r="G214" s="12"/>
      <c r="H214" s="12"/>
      <c r="I214" s="12"/>
      <c r="J214" s="13">
        <f t="shared" si="14"/>
        <v>155064.69</v>
      </c>
      <c r="K214" s="12"/>
      <c r="L214" s="12"/>
      <c r="AE214" s="46"/>
      <c r="AF214" s="46"/>
      <c r="AH214" s="46"/>
    </row>
    <row r="215" spans="1:34">
      <c r="A215" s="106" t="s">
        <v>330</v>
      </c>
      <c r="B215" s="12">
        <v>1718487</v>
      </c>
      <c r="C215" s="12"/>
      <c r="D215" s="12"/>
      <c r="E215" s="14"/>
      <c r="F215" s="14">
        <v>-257773</v>
      </c>
      <c r="G215" s="12"/>
      <c r="H215" s="12"/>
      <c r="I215" s="12"/>
      <c r="J215" s="13">
        <f t="shared" si="14"/>
        <v>1460714</v>
      </c>
      <c r="K215" s="12"/>
      <c r="L215" s="12"/>
      <c r="AE215" s="46"/>
      <c r="AF215" s="46"/>
      <c r="AH215" s="46"/>
    </row>
    <row r="216" spans="1:34">
      <c r="A216" s="106" t="s">
        <v>560</v>
      </c>
      <c r="B216" s="12">
        <v>403289</v>
      </c>
      <c r="C216" s="12"/>
      <c r="D216" s="12"/>
      <c r="E216" s="14"/>
      <c r="F216" s="14">
        <v>-60493</v>
      </c>
      <c r="G216" s="12"/>
      <c r="H216" s="12"/>
      <c r="I216" s="12"/>
      <c r="J216" s="13">
        <f t="shared" si="14"/>
        <v>342796</v>
      </c>
      <c r="K216" s="12"/>
      <c r="L216" s="12"/>
      <c r="AE216" s="46"/>
      <c r="AF216" s="46"/>
      <c r="AH216" s="46"/>
    </row>
    <row r="217" spans="1:34">
      <c r="A217" s="106" t="s">
        <v>545</v>
      </c>
      <c r="B217" s="12">
        <v>44395995.140000001</v>
      </c>
      <c r="C217" s="12"/>
      <c r="D217" s="12"/>
      <c r="E217" s="14"/>
      <c r="F217" s="14">
        <v>-6659399</v>
      </c>
      <c r="G217" s="12"/>
      <c r="H217" s="12"/>
      <c r="I217" s="12"/>
      <c r="J217" s="13">
        <f t="shared" si="14"/>
        <v>37736596.140000001</v>
      </c>
      <c r="K217" s="12"/>
      <c r="L217" s="12"/>
      <c r="AE217" s="46"/>
      <c r="AF217" s="46"/>
      <c r="AH217" s="46"/>
    </row>
    <row r="218" spans="1:34">
      <c r="A218" s="106" t="s">
        <v>600</v>
      </c>
      <c r="B218" s="12">
        <v>1396452</v>
      </c>
      <c r="C218" s="12"/>
      <c r="D218" s="12"/>
      <c r="E218" s="14"/>
      <c r="F218" s="14">
        <v>-209468</v>
      </c>
      <c r="G218" s="12"/>
      <c r="H218" s="12"/>
      <c r="I218" s="12"/>
      <c r="J218" s="13">
        <f t="shared" si="14"/>
        <v>1186984</v>
      </c>
      <c r="K218" s="12"/>
      <c r="L218" s="12"/>
      <c r="AE218" s="46"/>
      <c r="AF218" s="46"/>
      <c r="AH218" s="46"/>
    </row>
    <row r="219" spans="1:34">
      <c r="A219" s="106"/>
      <c r="B219" s="12" t="s">
        <v>544</v>
      </c>
      <c r="C219" s="12"/>
      <c r="D219" s="14"/>
      <c r="E219" s="12"/>
      <c r="F219" s="12"/>
      <c r="G219" s="12"/>
      <c r="H219" s="12"/>
      <c r="I219" s="12"/>
      <c r="J219" s="12" t="s">
        <v>544</v>
      </c>
      <c r="K219" s="12"/>
      <c r="L219" s="12"/>
      <c r="AE219" s="46"/>
      <c r="AF219" s="46"/>
      <c r="AH219" s="46"/>
    </row>
    <row r="220" spans="1:34">
      <c r="A220" s="130" t="s">
        <v>295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AE220" s="46"/>
      <c r="AF220" s="46"/>
      <c r="AH220" s="46"/>
    </row>
    <row r="221" spans="1:34">
      <c r="A221" s="106" t="s">
        <v>326</v>
      </c>
      <c r="B221" s="12">
        <v>11261627.4</v>
      </c>
      <c r="C221" s="12"/>
      <c r="D221" s="14"/>
      <c r="E221" s="14">
        <v>742118</v>
      </c>
      <c r="F221" s="14">
        <v>-1745153</v>
      </c>
      <c r="G221" s="14"/>
      <c r="H221" s="14"/>
      <c r="I221" s="14"/>
      <c r="J221" s="13">
        <f t="shared" ref="J221:J234" si="15">SUM(B221:I221)</f>
        <v>10258592.4</v>
      </c>
      <c r="K221" s="14"/>
      <c r="L221" s="14"/>
      <c r="AE221" s="46"/>
      <c r="AF221" s="46"/>
      <c r="AH221" s="46"/>
    </row>
    <row r="222" spans="1:34">
      <c r="A222" s="106" t="s">
        <v>573</v>
      </c>
      <c r="B222" s="12">
        <v>17405917</v>
      </c>
      <c r="C222" s="12"/>
      <c r="D222" s="14"/>
      <c r="E222" s="14"/>
      <c r="F222" s="14">
        <v>-2610888</v>
      </c>
      <c r="G222" s="14"/>
      <c r="H222" s="14"/>
      <c r="I222" s="14"/>
      <c r="J222" s="13">
        <f t="shared" si="15"/>
        <v>14795029</v>
      </c>
      <c r="K222" s="14"/>
      <c r="L222" s="14"/>
      <c r="AE222" s="46"/>
      <c r="AF222" s="46"/>
      <c r="AH222" s="46"/>
    </row>
    <row r="223" spans="1:34">
      <c r="A223" s="106" t="s">
        <v>278</v>
      </c>
      <c r="B223" s="12">
        <v>5353793.2</v>
      </c>
      <c r="C223" s="12"/>
      <c r="D223" s="14"/>
      <c r="E223" s="14"/>
      <c r="F223" s="14">
        <f>-601603-1349-200117</f>
        <v>-803069</v>
      </c>
      <c r="G223" s="14"/>
      <c r="H223" s="14"/>
      <c r="I223" s="14"/>
      <c r="J223" s="13">
        <f t="shared" si="15"/>
        <v>4550724.2</v>
      </c>
      <c r="K223" s="14"/>
      <c r="L223" s="14"/>
      <c r="AE223" s="46"/>
      <c r="AF223" s="46"/>
      <c r="AH223" s="46"/>
    </row>
    <row r="224" spans="1:34">
      <c r="A224" s="106" t="s">
        <v>332</v>
      </c>
      <c r="B224" s="12">
        <v>4519894</v>
      </c>
      <c r="C224" s="12"/>
      <c r="D224" s="14"/>
      <c r="E224" s="14">
        <v>846000</v>
      </c>
      <c r="F224" s="14">
        <v>-741434</v>
      </c>
      <c r="G224" s="14"/>
      <c r="H224" s="14"/>
      <c r="I224" s="14"/>
      <c r="J224" s="13">
        <f t="shared" si="15"/>
        <v>4624460</v>
      </c>
      <c r="K224" s="14"/>
      <c r="L224" s="14"/>
      <c r="AE224" s="46"/>
      <c r="AF224" s="46"/>
      <c r="AH224" s="46"/>
    </row>
    <row r="225" spans="1:34">
      <c r="A225" s="106" t="s">
        <v>334</v>
      </c>
      <c r="B225" s="12">
        <v>7623979</v>
      </c>
      <c r="C225" s="12"/>
      <c r="D225" s="14"/>
      <c r="E225" s="14">
        <v>93200</v>
      </c>
      <c r="F225" s="14">
        <v>-1150587</v>
      </c>
      <c r="G225" s="14"/>
      <c r="H225" s="14"/>
      <c r="I225" s="14"/>
      <c r="J225" s="13">
        <f t="shared" si="15"/>
        <v>6566592</v>
      </c>
      <c r="K225" s="14"/>
      <c r="L225" s="14"/>
      <c r="AE225" s="46"/>
      <c r="AF225" s="46"/>
      <c r="AH225" s="46"/>
    </row>
    <row r="226" spans="1:34">
      <c r="A226" s="106" t="s">
        <v>329</v>
      </c>
      <c r="B226" s="12">
        <v>8419958.9900000002</v>
      </c>
      <c r="C226" s="12"/>
      <c r="D226" s="14"/>
      <c r="E226" s="14">
        <v>100578</v>
      </c>
      <c r="F226" s="14">
        <v>-1270537</v>
      </c>
      <c r="G226" s="14"/>
      <c r="H226" s="14"/>
      <c r="I226" s="14"/>
      <c r="J226" s="13">
        <f t="shared" si="15"/>
        <v>7249999.9900000002</v>
      </c>
      <c r="K226" s="14"/>
      <c r="L226" s="14"/>
      <c r="AE226" s="46"/>
      <c r="AF226" s="46"/>
      <c r="AH226" s="46"/>
    </row>
    <row r="227" spans="1:34">
      <c r="A227" s="106" t="s">
        <v>335</v>
      </c>
      <c r="B227" s="12">
        <v>7923493.5500000007</v>
      </c>
      <c r="C227" s="12"/>
      <c r="D227" s="14"/>
      <c r="E227" s="12"/>
      <c r="F227" s="14">
        <v>-1188524</v>
      </c>
      <c r="G227" s="14"/>
      <c r="H227" s="14"/>
      <c r="I227" s="14"/>
      <c r="J227" s="13">
        <f t="shared" si="15"/>
        <v>6734969.5500000007</v>
      </c>
      <c r="K227" s="14"/>
      <c r="L227" s="14"/>
      <c r="AE227" s="46"/>
      <c r="AF227" s="46"/>
      <c r="AH227" s="46"/>
    </row>
    <row r="228" spans="1:34">
      <c r="A228" s="106" t="s">
        <v>50</v>
      </c>
      <c r="B228" s="12">
        <v>313875.83</v>
      </c>
      <c r="C228" s="12"/>
      <c r="D228" s="14"/>
      <c r="E228" s="12">
        <v>888710</v>
      </c>
      <c r="F228" s="14">
        <v>-113734</v>
      </c>
      <c r="G228" s="14"/>
      <c r="H228" s="14"/>
      <c r="I228" s="14"/>
      <c r="J228" s="13">
        <f t="shared" si="15"/>
        <v>1088851.83</v>
      </c>
      <c r="K228" s="14"/>
      <c r="L228" s="14"/>
      <c r="AE228" s="46"/>
      <c r="AF228" s="46"/>
      <c r="AH228" s="46"/>
    </row>
    <row r="229" spans="1:34">
      <c r="A229" s="106" t="s">
        <v>330</v>
      </c>
      <c r="B229" s="12">
        <v>15130199.15</v>
      </c>
      <c r="C229" s="12"/>
      <c r="D229" s="12"/>
      <c r="E229" s="12"/>
      <c r="F229" s="14">
        <v>-2269531</v>
      </c>
      <c r="G229" s="14"/>
      <c r="H229" s="14"/>
      <c r="I229" s="14"/>
      <c r="J229" s="13">
        <f t="shared" si="15"/>
        <v>12860668.15</v>
      </c>
      <c r="K229" s="14"/>
      <c r="L229" s="14"/>
      <c r="AE229" s="46"/>
      <c r="AF229" s="46"/>
      <c r="AH229" s="46"/>
    </row>
    <row r="230" spans="1:34">
      <c r="A230" s="106" t="s">
        <v>257</v>
      </c>
      <c r="B230" s="12">
        <v>274256734.18000001</v>
      </c>
      <c r="C230" s="12"/>
      <c r="D230" s="12"/>
      <c r="E230" s="14">
        <v>7208815.0899999999</v>
      </c>
      <c r="F230" s="14">
        <v>-41679373</v>
      </c>
      <c r="G230" s="14"/>
      <c r="H230" s="14"/>
      <c r="I230" s="14"/>
      <c r="J230" s="13">
        <f t="shared" si="15"/>
        <v>239786176.26999998</v>
      </c>
      <c r="K230" s="14"/>
      <c r="L230" s="14"/>
      <c r="AE230" s="46"/>
      <c r="AF230" s="46"/>
      <c r="AH230" s="46"/>
    </row>
    <row r="231" spans="1:34">
      <c r="A231" s="106" t="s">
        <v>560</v>
      </c>
      <c r="B231" s="12">
        <v>1890902</v>
      </c>
      <c r="C231" s="12"/>
      <c r="D231" s="12"/>
      <c r="E231" s="14">
        <v>177618</v>
      </c>
      <c r="F231" s="14">
        <v>-296956</v>
      </c>
      <c r="G231" s="14"/>
      <c r="H231" s="14"/>
      <c r="I231" s="14"/>
      <c r="J231" s="13">
        <f t="shared" si="15"/>
        <v>1771564</v>
      </c>
      <c r="K231" s="14"/>
      <c r="L231" s="14"/>
      <c r="AE231" s="46"/>
      <c r="AF231" s="46"/>
      <c r="AH231" s="46"/>
    </row>
    <row r="232" spans="1:34">
      <c r="A232" s="106" t="s">
        <v>561</v>
      </c>
      <c r="B232" s="12">
        <v>4285543.5999999996</v>
      </c>
      <c r="C232" s="12"/>
      <c r="D232" s="12"/>
      <c r="E232" s="14">
        <v>776200</v>
      </c>
      <c r="F232" s="14">
        <v>-701047</v>
      </c>
      <c r="G232" s="14"/>
      <c r="H232" s="14"/>
      <c r="I232" s="14"/>
      <c r="J232" s="13">
        <f t="shared" si="15"/>
        <v>4360696.5999999996</v>
      </c>
      <c r="K232" s="14"/>
      <c r="L232" s="14"/>
      <c r="AE232" s="46"/>
      <c r="AF232" s="46"/>
      <c r="AH232" s="46"/>
    </row>
    <row r="233" spans="1:34">
      <c r="A233" s="106" t="s">
        <v>594</v>
      </c>
      <c r="B233" s="12">
        <v>7673452</v>
      </c>
      <c r="C233" s="12"/>
      <c r="D233" s="12"/>
      <c r="E233" s="14"/>
      <c r="F233" s="14">
        <v>-1151018</v>
      </c>
      <c r="G233" s="14"/>
      <c r="H233" s="14"/>
      <c r="I233" s="14"/>
      <c r="J233" s="13">
        <f t="shared" si="15"/>
        <v>6522434</v>
      </c>
      <c r="K233" s="14"/>
      <c r="L233" s="14"/>
      <c r="AE233" s="46"/>
      <c r="AF233" s="46"/>
      <c r="AH233" s="46"/>
    </row>
    <row r="234" spans="1:34">
      <c r="A234" s="106" t="s">
        <v>349</v>
      </c>
      <c r="B234" s="12">
        <v>982864</v>
      </c>
      <c r="C234" s="12"/>
      <c r="D234" s="14"/>
      <c r="E234" s="12"/>
      <c r="F234" s="12"/>
      <c r="G234" s="12"/>
      <c r="H234" s="12"/>
      <c r="I234" s="12"/>
      <c r="J234" s="12">
        <f t="shared" si="15"/>
        <v>982864</v>
      </c>
      <c r="K234" s="12"/>
      <c r="L234" s="12"/>
      <c r="AE234" s="46"/>
      <c r="AF234" s="46"/>
      <c r="AH234" s="46"/>
    </row>
    <row r="235" spans="1:34">
      <c r="A235" s="106"/>
      <c r="B235" s="12" t="s">
        <v>544</v>
      </c>
      <c r="C235" s="12"/>
      <c r="D235" s="14"/>
      <c r="E235" s="12"/>
      <c r="F235" s="12"/>
      <c r="G235" s="12"/>
      <c r="H235" s="12"/>
      <c r="I235" s="12"/>
      <c r="J235" s="12" t="s">
        <v>544</v>
      </c>
      <c r="K235" s="12"/>
      <c r="L235" s="12"/>
      <c r="AE235" s="46"/>
      <c r="AF235" s="46"/>
      <c r="AH235" s="46"/>
    </row>
    <row r="236" spans="1:34">
      <c r="A236" s="130" t="s">
        <v>601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AE236" s="46"/>
      <c r="AF236" s="46"/>
      <c r="AH236" s="46"/>
    </row>
    <row r="237" spans="1:34">
      <c r="A237" s="106" t="s">
        <v>326</v>
      </c>
      <c r="B237" s="12">
        <v>4753662.46</v>
      </c>
      <c r="C237" s="12"/>
      <c r="D237" s="12"/>
      <c r="E237" s="12"/>
      <c r="F237" s="14">
        <v>-713049</v>
      </c>
      <c r="G237" s="12"/>
      <c r="H237" s="12"/>
      <c r="I237" s="12"/>
      <c r="J237" s="13">
        <f>SUM(B237:I237)</f>
        <v>4040613.46</v>
      </c>
      <c r="K237" s="12"/>
      <c r="L237" s="12"/>
      <c r="AE237" s="46"/>
      <c r="AF237" s="46"/>
      <c r="AH237" s="46"/>
    </row>
    <row r="238" spans="1:34">
      <c r="A238" s="106"/>
      <c r="B238" s="12" t="s">
        <v>544</v>
      </c>
      <c r="C238" s="12"/>
      <c r="D238" s="14"/>
      <c r="E238" s="12"/>
      <c r="F238" s="12"/>
      <c r="G238" s="12"/>
      <c r="H238" s="12"/>
      <c r="I238" s="12"/>
      <c r="J238" s="12" t="s">
        <v>544</v>
      </c>
      <c r="K238" s="12"/>
      <c r="L238" s="12"/>
      <c r="AE238" s="46"/>
      <c r="AF238" s="46"/>
      <c r="AH238" s="46"/>
    </row>
    <row r="239" spans="1:34">
      <c r="A239" s="130" t="s">
        <v>602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AE239" s="46"/>
      <c r="AF239" s="46"/>
      <c r="AH239" s="46"/>
    </row>
    <row r="240" spans="1:34">
      <c r="A240" s="106" t="s">
        <v>326</v>
      </c>
      <c r="B240" s="12">
        <v>105872.49</v>
      </c>
      <c r="C240" s="12"/>
      <c r="D240" s="12"/>
      <c r="E240" s="12"/>
      <c r="F240" s="14">
        <v>-15881</v>
      </c>
      <c r="G240" s="12"/>
      <c r="H240" s="12"/>
      <c r="I240" s="12"/>
      <c r="J240" s="13">
        <f>SUM(B240:I240)</f>
        <v>89991.49</v>
      </c>
      <c r="K240" s="12"/>
      <c r="L240" s="12"/>
      <c r="AE240" s="46"/>
      <c r="AF240" s="46"/>
      <c r="AH240" s="46"/>
    </row>
    <row r="241" spans="1:34">
      <c r="A241" s="106"/>
      <c r="B241" s="12" t="s">
        <v>544</v>
      </c>
      <c r="C241" s="12"/>
      <c r="D241" s="14"/>
      <c r="E241" s="12"/>
      <c r="F241" s="12"/>
      <c r="G241" s="12"/>
      <c r="H241" s="12"/>
      <c r="I241" s="12"/>
      <c r="J241" s="12" t="s">
        <v>544</v>
      </c>
      <c r="K241" s="12"/>
      <c r="L241" s="12"/>
      <c r="AE241" s="46"/>
      <c r="AF241" s="46"/>
      <c r="AH241" s="46"/>
    </row>
    <row r="242" spans="1:34">
      <c r="A242" s="130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AE242" s="46"/>
      <c r="AF242" s="46"/>
      <c r="AH242" s="46"/>
    </row>
    <row r="243" spans="1:34">
      <c r="A243" s="106" t="s">
        <v>326</v>
      </c>
      <c r="B243" s="12">
        <v>68575.06</v>
      </c>
      <c r="C243" s="12"/>
      <c r="D243" s="12"/>
      <c r="E243" s="12"/>
      <c r="F243" s="14">
        <v>-10286</v>
      </c>
      <c r="G243" s="12"/>
      <c r="H243" s="14"/>
      <c r="I243" s="12"/>
      <c r="J243" s="13">
        <f>SUM(B243:I243)</f>
        <v>58289.06</v>
      </c>
      <c r="K243" s="12"/>
      <c r="L243" s="12"/>
      <c r="AE243" s="46"/>
      <c r="AF243" s="46"/>
      <c r="AH243" s="46"/>
    </row>
    <row r="244" spans="1:34">
      <c r="A244" s="106"/>
      <c r="B244" s="12" t="s">
        <v>544</v>
      </c>
      <c r="C244" s="12"/>
      <c r="D244" s="14"/>
      <c r="E244" s="12"/>
      <c r="F244" s="12"/>
      <c r="G244" s="12"/>
      <c r="H244" s="12"/>
      <c r="I244" s="12"/>
      <c r="J244" s="12" t="s">
        <v>544</v>
      </c>
      <c r="K244" s="12"/>
      <c r="L244" s="12"/>
      <c r="AE244" s="46"/>
      <c r="AF244" s="46"/>
      <c r="AH244" s="46"/>
    </row>
    <row r="245" spans="1:34">
      <c r="A245" s="130" t="s">
        <v>604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AE245" s="46"/>
      <c r="AF245" s="46"/>
      <c r="AH245" s="46"/>
    </row>
    <row r="246" spans="1:34">
      <c r="A246" s="106" t="s">
        <v>605</v>
      </c>
      <c r="B246" s="12">
        <v>4755163.67</v>
      </c>
      <c r="C246" s="12"/>
      <c r="D246" s="12"/>
      <c r="E246" s="12"/>
      <c r="F246" s="14">
        <v>-713275</v>
      </c>
      <c r="G246" s="12"/>
      <c r="H246" s="14"/>
      <c r="I246" s="12"/>
      <c r="J246" s="13">
        <f>SUM(B246:I246)</f>
        <v>4041888.67</v>
      </c>
      <c r="K246" s="12"/>
      <c r="L246" s="12"/>
      <c r="AE246" s="46"/>
      <c r="AF246" s="46"/>
      <c r="AH246" s="46"/>
    </row>
    <row r="247" spans="1:34">
      <c r="A247" s="106" t="s">
        <v>545</v>
      </c>
      <c r="B247" s="12" t="s">
        <v>544</v>
      </c>
      <c r="C247" s="12"/>
      <c r="D247" s="14"/>
      <c r="E247" s="12">
        <v>9470967.5600000005</v>
      </c>
      <c r="F247" s="12">
        <v>-1420645</v>
      </c>
      <c r="G247" s="12"/>
      <c r="H247" s="12"/>
      <c r="I247" s="12"/>
      <c r="J247" s="13">
        <f>SUM(B247:I247)</f>
        <v>8050322.5600000005</v>
      </c>
      <c r="K247" s="12"/>
      <c r="L247" s="12"/>
      <c r="AE247" s="46"/>
      <c r="AF247" s="46"/>
      <c r="AH247" s="46"/>
    </row>
    <row r="248" spans="1:34">
      <c r="A248" s="106"/>
      <c r="B248" s="12" t="s">
        <v>544</v>
      </c>
      <c r="C248" s="12"/>
      <c r="D248" s="14"/>
      <c r="E248" s="12"/>
      <c r="F248" s="12"/>
      <c r="G248" s="12"/>
      <c r="H248" s="12"/>
      <c r="I248" s="12"/>
      <c r="J248" s="12" t="s">
        <v>544</v>
      </c>
      <c r="K248" s="12"/>
      <c r="L248" s="12"/>
      <c r="AE248" s="46"/>
      <c r="AF248" s="46"/>
      <c r="AH248" s="46"/>
    </row>
    <row r="249" spans="1:34">
      <c r="A249" s="130" t="s">
        <v>606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AE249" s="46"/>
      <c r="AF249" s="46"/>
      <c r="AH249" s="46"/>
    </row>
    <row r="250" spans="1:34">
      <c r="A250" s="106" t="s">
        <v>332</v>
      </c>
      <c r="B250" s="12">
        <v>9203</v>
      </c>
      <c r="C250" s="12"/>
      <c r="D250" s="12"/>
      <c r="E250" s="12"/>
      <c r="F250" s="14">
        <v>-920</v>
      </c>
      <c r="G250" s="12"/>
      <c r="H250" s="12"/>
      <c r="I250" s="12"/>
      <c r="J250" s="13">
        <f>SUM(B250:I250)</f>
        <v>8283</v>
      </c>
      <c r="K250" s="12"/>
      <c r="L250" s="12"/>
      <c r="AE250" s="46"/>
      <c r="AF250" s="46"/>
      <c r="AH250" s="46"/>
    </row>
    <row r="251" spans="1:34">
      <c r="A251" s="106" t="s">
        <v>335</v>
      </c>
      <c r="B251" s="12">
        <v>4306518.55</v>
      </c>
      <c r="C251" s="12"/>
      <c r="D251" s="12"/>
      <c r="E251" s="12"/>
      <c r="F251" s="14">
        <v>-4430652</v>
      </c>
      <c r="G251" s="12"/>
      <c r="H251" s="12">
        <v>40000000</v>
      </c>
      <c r="I251" s="12">
        <v>0</v>
      </c>
      <c r="J251" s="13">
        <f>SUM(B251:I251)</f>
        <v>39875866.549999997</v>
      </c>
      <c r="K251" s="12"/>
      <c r="L251" s="12"/>
      <c r="AE251" s="46"/>
      <c r="AF251" s="46"/>
      <c r="AH251" s="46"/>
    </row>
    <row r="252" spans="1:34">
      <c r="A252" s="106" t="s">
        <v>257</v>
      </c>
      <c r="B252" s="12">
        <v>6199112</v>
      </c>
      <c r="C252" s="12"/>
      <c r="D252" s="12"/>
      <c r="E252" s="12"/>
      <c r="F252" s="14">
        <v>-619911</v>
      </c>
      <c r="G252" s="12"/>
      <c r="H252" s="12"/>
      <c r="I252" s="12"/>
      <c r="J252" s="13">
        <f>SUM(B252:I252)</f>
        <v>5579201</v>
      </c>
      <c r="K252" s="12"/>
      <c r="L252" s="12"/>
      <c r="AE252" s="46"/>
      <c r="AF252" s="46"/>
      <c r="AH252" s="46"/>
    </row>
    <row r="253" spans="1:34">
      <c r="A253" s="106" t="s">
        <v>339</v>
      </c>
      <c r="B253" s="12">
        <v>51452020</v>
      </c>
      <c r="C253" s="12"/>
      <c r="D253" s="12"/>
      <c r="E253" s="12"/>
      <c r="F253" s="14"/>
      <c r="G253" s="12"/>
      <c r="H253" s="12"/>
      <c r="I253" s="12"/>
      <c r="J253" s="12">
        <f>SUM(B253:I253)</f>
        <v>51452020</v>
      </c>
      <c r="K253" s="12"/>
      <c r="L253" s="12"/>
      <c r="AE253" s="46"/>
      <c r="AF253" s="46"/>
      <c r="AH253" s="46"/>
    </row>
    <row r="254" spans="1:34">
      <c r="A254" s="106"/>
      <c r="B254" s="12" t="s">
        <v>544</v>
      </c>
      <c r="C254" s="12"/>
      <c r="D254" s="14"/>
      <c r="E254" s="12"/>
      <c r="F254" s="12"/>
      <c r="G254" s="12"/>
      <c r="H254" s="12"/>
      <c r="I254" s="12"/>
      <c r="J254" s="12" t="s">
        <v>544</v>
      </c>
      <c r="K254" s="12"/>
      <c r="L254" s="12"/>
      <c r="AE254" s="46"/>
      <c r="AF254" s="46"/>
      <c r="AH254" s="46"/>
    </row>
    <row r="255" spans="1:34">
      <c r="A255" s="130" t="s">
        <v>607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AE255" s="46"/>
      <c r="AF255" s="46"/>
      <c r="AH255" s="46"/>
    </row>
    <row r="256" spans="1:34">
      <c r="A256" s="106" t="s">
        <v>334</v>
      </c>
      <c r="B256" s="12">
        <v>552736</v>
      </c>
      <c r="C256" s="12"/>
      <c r="D256" s="12"/>
      <c r="E256" s="14">
        <v>118453</v>
      </c>
      <c r="F256" s="14">
        <v>-91875</v>
      </c>
      <c r="G256" s="12"/>
      <c r="H256" s="12"/>
      <c r="I256" s="12"/>
      <c r="J256" s="13">
        <f>SUM(B256:I256)</f>
        <v>579314</v>
      </c>
      <c r="K256" s="12"/>
      <c r="L256" s="12"/>
      <c r="AE256" s="46"/>
      <c r="AF256" s="46"/>
      <c r="AH256" s="46"/>
    </row>
    <row r="257" spans="1:34">
      <c r="A257" s="106"/>
      <c r="B257" s="12" t="s">
        <v>544</v>
      </c>
      <c r="C257" s="12"/>
      <c r="D257" s="14"/>
      <c r="E257" s="12"/>
      <c r="F257" s="12"/>
      <c r="G257" s="12"/>
      <c r="H257" s="12"/>
      <c r="I257" s="12"/>
      <c r="J257" s="12" t="s">
        <v>544</v>
      </c>
      <c r="K257" s="12"/>
      <c r="L257" s="12"/>
      <c r="AE257" s="46"/>
      <c r="AF257" s="46"/>
      <c r="AH257" s="46"/>
    </row>
    <row r="258" spans="1:34">
      <c r="A258" s="130" t="s">
        <v>608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AE258" s="46"/>
      <c r="AF258" s="46"/>
      <c r="AH258" s="46"/>
    </row>
    <row r="259" spans="1:34">
      <c r="A259" s="106" t="s">
        <v>334</v>
      </c>
      <c r="B259" s="12">
        <v>25417</v>
      </c>
      <c r="C259" s="12"/>
      <c r="D259" s="12"/>
      <c r="E259" s="12"/>
      <c r="F259" s="14">
        <v>-3813</v>
      </c>
      <c r="G259" s="12"/>
      <c r="H259" s="12"/>
      <c r="I259" s="12"/>
      <c r="J259" s="13">
        <f>SUM(B259:I259)</f>
        <v>21604</v>
      </c>
      <c r="K259" s="12"/>
      <c r="L259" s="12"/>
      <c r="AE259" s="46"/>
      <c r="AF259" s="46"/>
      <c r="AH259" s="46"/>
    </row>
    <row r="260" spans="1:34">
      <c r="A260" s="106"/>
      <c r="B260" s="12" t="s">
        <v>544</v>
      </c>
      <c r="C260" s="12"/>
      <c r="D260" s="14"/>
      <c r="E260" s="12"/>
      <c r="F260" s="12"/>
      <c r="G260" s="12"/>
      <c r="H260" s="12"/>
      <c r="I260" s="12"/>
      <c r="J260" s="12" t="s">
        <v>544</v>
      </c>
      <c r="K260" s="12"/>
      <c r="L260" s="12"/>
      <c r="AE260" s="46"/>
      <c r="AF260" s="46"/>
      <c r="AH260" s="46"/>
    </row>
    <row r="261" spans="1:34">
      <c r="A261" s="130" t="s">
        <v>24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AE261" s="46"/>
      <c r="AF261" s="46"/>
      <c r="AH261" s="46"/>
    </row>
    <row r="262" spans="1:34">
      <c r="A262" s="106" t="s">
        <v>329</v>
      </c>
      <c r="B262" s="12">
        <v>1795463</v>
      </c>
      <c r="C262" s="12"/>
      <c r="D262" s="12"/>
      <c r="E262" s="12"/>
      <c r="F262" s="14">
        <v>-269319</v>
      </c>
      <c r="G262" s="12"/>
      <c r="H262" s="12"/>
      <c r="I262" s="12"/>
      <c r="J262" s="13">
        <f>SUM(B262:I262)</f>
        <v>1526144</v>
      </c>
      <c r="K262" s="12"/>
      <c r="L262" s="12"/>
      <c r="AE262" s="46"/>
      <c r="AF262" s="46"/>
      <c r="AH262" s="46"/>
    </row>
    <row r="263" spans="1:34">
      <c r="A263" s="106"/>
      <c r="B263" s="12" t="s">
        <v>544</v>
      </c>
      <c r="C263" s="12"/>
      <c r="D263" s="14"/>
      <c r="E263" s="12"/>
      <c r="F263" s="12"/>
      <c r="G263" s="12"/>
      <c r="H263" s="12"/>
      <c r="I263" s="12"/>
      <c r="J263" s="12" t="s">
        <v>544</v>
      </c>
      <c r="K263" s="12"/>
      <c r="L263" s="12"/>
      <c r="AE263" s="46"/>
      <c r="AF263" s="46"/>
      <c r="AH263" s="46"/>
    </row>
    <row r="264" spans="1:34">
      <c r="A264" s="106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AE264" s="46"/>
      <c r="AF264" s="46"/>
      <c r="AH264" s="46"/>
    </row>
    <row r="265" spans="1:34">
      <c r="A265" s="131" t="s">
        <v>25</v>
      </c>
      <c r="B265" s="12"/>
      <c r="C265" s="12"/>
      <c r="D265" s="14"/>
      <c r="E265" s="12"/>
      <c r="F265" s="12"/>
      <c r="G265" s="12"/>
      <c r="H265" s="12"/>
      <c r="I265" s="12"/>
      <c r="J265" s="12"/>
      <c r="K265" s="12"/>
      <c r="L265" s="12"/>
      <c r="AE265" s="46"/>
      <c r="AF265" s="46"/>
      <c r="AH265" s="46"/>
    </row>
    <row r="266" spans="1:34">
      <c r="A266" s="106" t="s">
        <v>560</v>
      </c>
      <c r="B266" s="12">
        <v>1359623</v>
      </c>
      <c r="C266" s="12"/>
      <c r="D266" s="12"/>
      <c r="E266" s="12">
        <v>756201</v>
      </c>
      <c r="F266" s="12">
        <v>-317373</v>
      </c>
      <c r="G266" s="12"/>
      <c r="H266" s="12"/>
      <c r="I266" s="12"/>
      <c r="J266" s="13">
        <f t="shared" ref="J266:J274" si="16">SUM(B266:I266)</f>
        <v>1798451</v>
      </c>
      <c r="K266" s="12"/>
      <c r="L266" s="12"/>
      <c r="AE266" s="46"/>
      <c r="AF266" s="46"/>
      <c r="AH266" s="46"/>
    </row>
    <row r="267" spans="1:34">
      <c r="A267" s="106" t="s">
        <v>23</v>
      </c>
      <c r="B267" s="12">
        <v>1901916</v>
      </c>
      <c r="C267" s="12"/>
      <c r="D267" s="12"/>
      <c r="E267" s="12"/>
      <c r="F267" s="12">
        <v>-285287</v>
      </c>
      <c r="G267" s="12"/>
      <c r="H267" s="12"/>
      <c r="I267" s="12"/>
      <c r="J267" s="13">
        <f t="shared" si="16"/>
        <v>1616629</v>
      </c>
      <c r="K267" s="12"/>
      <c r="L267" s="12"/>
      <c r="AE267" s="46"/>
      <c r="AF267" s="46"/>
      <c r="AH267" s="46"/>
    </row>
    <row r="268" spans="1:34">
      <c r="A268" s="106" t="s">
        <v>334</v>
      </c>
      <c r="B268" s="12">
        <v>0</v>
      </c>
      <c r="C268" s="12"/>
      <c r="D268" s="12">
        <v>111881</v>
      </c>
      <c r="E268" s="12">
        <v>0</v>
      </c>
      <c r="F268" s="12">
        <v>-16782</v>
      </c>
      <c r="G268" s="12"/>
      <c r="H268" s="12"/>
      <c r="I268" s="12"/>
      <c r="J268" s="13">
        <f t="shared" si="16"/>
        <v>95099</v>
      </c>
      <c r="K268" s="12"/>
      <c r="L268" s="12"/>
      <c r="AE268" s="46"/>
      <c r="AF268" s="46"/>
      <c r="AH268" s="46"/>
    </row>
    <row r="269" spans="1:34">
      <c r="A269" s="106" t="s">
        <v>21</v>
      </c>
      <c r="B269" s="12">
        <v>0</v>
      </c>
      <c r="C269" s="12"/>
      <c r="D269" s="12"/>
      <c r="E269" s="12">
        <v>1195494</v>
      </c>
      <c r="F269" s="12">
        <v>-179324</v>
      </c>
      <c r="G269" s="12"/>
      <c r="H269" s="12"/>
      <c r="I269" s="12"/>
      <c r="J269" s="13">
        <f t="shared" si="16"/>
        <v>1016170</v>
      </c>
      <c r="K269" s="12"/>
      <c r="L269" s="12"/>
      <c r="AE269" s="46"/>
      <c r="AF269" s="46"/>
      <c r="AH269" s="46"/>
    </row>
    <row r="270" spans="1:34">
      <c r="A270" s="106" t="s">
        <v>278</v>
      </c>
      <c r="B270" s="12">
        <v>0</v>
      </c>
      <c r="C270" s="12"/>
      <c r="D270" s="12">
        <v>2654630</v>
      </c>
      <c r="E270" s="12">
        <f>5376120-D270</f>
        <v>2721490</v>
      </c>
      <c r="F270" s="12">
        <v>-806418</v>
      </c>
      <c r="G270" s="12"/>
      <c r="H270" s="12"/>
      <c r="I270" s="12"/>
      <c r="J270" s="13">
        <f t="shared" si="16"/>
        <v>4569702</v>
      </c>
      <c r="K270" s="12"/>
      <c r="L270" s="12"/>
      <c r="AE270" s="46"/>
      <c r="AF270" s="46"/>
      <c r="AH270" s="46"/>
    </row>
    <row r="271" spans="1:34">
      <c r="A271" s="106" t="s">
        <v>332</v>
      </c>
      <c r="B271" s="12">
        <v>0</v>
      </c>
      <c r="C271" s="12"/>
      <c r="D271" s="12">
        <v>424640</v>
      </c>
      <c r="E271" s="12">
        <f>765596-D271</f>
        <v>340956</v>
      </c>
      <c r="F271" s="12">
        <v>-114839</v>
      </c>
      <c r="G271" s="12"/>
      <c r="H271" s="12"/>
      <c r="I271" s="12"/>
      <c r="J271" s="13">
        <f t="shared" si="16"/>
        <v>650757</v>
      </c>
      <c r="K271" s="12"/>
      <c r="L271" s="12"/>
      <c r="AE271" s="46"/>
      <c r="AF271" s="46"/>
      <c r="AH271" s="46"/>
    </row>
    <row r="272" spans="1:34">
      <c r="A272" s="106" t="s">
        <v>668</v>
      </c>
      <c r="B272" s="12"/>
      <c r="C272" s="12"/>
      <c r="D272" s="12"/>
      <c r="E272" s="12">
        <v>162672745.59</v>
      </c>
      <c r="F272" s="12">
        <v>-24400912</v>
      </c>
      <c r="G272" s="12"/>
      <c r="H272" s="12"/>
      <c r="I272" s="12"/>
      <c r="J272" s="13">
        <f t="shared" si="16"/>
        <v>138271833.59</v>
      </c>
      <c r="K272" s="12"/>
      <c r="L272" s="12"/>
      <c r="AE272" s="46"/>
      <c r="AF272" s="46"/>
      <c r="AH272" s="46"/>
    </row>
    <row r="273" spans="1:34">
      <c r="A273" s="106" t="s">
        <v>390</v>
      </c>
      <c r="B273" s="12"/>
      <c r="C273" s="12"/>
      <c r="D273" s="12">
        <v>2178029</v>
      </c>
      <c r="E273" s="12">
        <f>2374904-D273</f>
        <v>196875</v>
      </c>
      <c r="F273" s="12">
        <v>-356236</v>
      </c>
      <c r="G273" s="12"/>
      <c r="H273" s="12"/>
      <c r="I273" s="12"/>
      <c r="J273" s="13">
        <f t="shared" si="16"/>
        <v>2018668</v>
      </c>
      <c r="K273" s="12"/>
      <c r="L273" s="12"/>
      <c r="AE273" s="46"/>
      <c r="AF273" s="46"/>
      <c r="AH273" s="46"/>
    </row>
    <row r="274" spans="1:34">
      <c r="A274" s="106" t="s">
        <v>437</v>
      </c>
      <c r="B274" s="12">
        <v>3917080</v>
      </c>
      <c r="C274" s="12"/>
      <c r="D274" s="12"/>
      <c r="E274" s="12">
        <v>453475</v>
      </c>
      <c r="F274" s="12">
        <v>-655583</v>
      </c>
      <c r="G274" s="12"/>
      <c r="H274" s="12"/>
      <c r="I274" s="12"/>
      <c r="J274" s="13">
        <f t="shared" si="16"/>
        <v>3714972</v>
      </c>
      <c r="K274" s="12"/>
      <c r="L274" s="12"/>
      <c r="AE274" s="46"/>
      <c r="AF274" s="46"/>
      <c r="AH274" s="46"/>
    </row>
    <row r="275" spans="1:34">
      <c r="A275" s="106"/>
      <c r="B275" s="12"/>
      <c r="C275" s="12"/>
      <c r="D275" s="14"/>
      <c r="E275" s="12"/>
      <c r="F275" s="12"/>
      <c r="G275" s="12"/>
      <c r="H275" s="12"/>
      <c r="I275" s="12"/>
      <c r="J275" s="12"/>
      <c r="K275" s="12"/>
      <c r="L275" s="12"/>
      <c r="AE275" s="46"/>
      <c r="AF275" s="46"/>
      <c r="AH275" s="46"/>
    </row>
    <row r="276" spans="1:34">
      <c r="A276" s="130" t="s">
        <v>26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AE276" s="46"/>
      <c r="AF276" s="46"/>
      <c r="AH276" s="46"/>
    </row>
    <row r="277" spans="1:34">
      <c r="A277" s="106" t="s">
        <v>50</v>
      </c>
      <c r="B277" s="12">
        <v>6287.48</v>
      </c>
      <c r="C277" s="12"/>
      <c r="D277" s="14"/>
      <c r="E277" s="12"/>
      <c r="F277" s="14">
        <v>-943</v>
      </c>
      <c r="G277" s="14"/>
      <c r="H277" s="12"/>
      <c r="I277" s="12"/>
      <c r="J277" s="13">
        <f>SUM(B277:I277)</f>
        <v>5344.48</v>
      </c>
      <c r="K277" s="12"/>
      <c r="L277" s="12"/>
      <c r="AE277" s="46"/>
      <c r="AF277" s="46"/>
      <c r="AH277" s="46"/>
    </row>
    <row r="278" spans="1:34">
      <c r="A278" s="106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AE278" s="46"/>
      <c r="AF278" s="46"/>
      <c r="AH278" s="46"/>
    </row>
    <row r="279" spans="1:34">
      <c r="A279" s="131" t="s">
        <v>597</v>
      </c>
      <c r="B279" s="13">
        <f t="shared" ref="B279:J279" si="17">SUM(B56:B277)</f>
        <v>1371939148.7400002</v>
      </c>
      <c r="C279" s="13">
        <f t="shared" si="17"/>
        <v>4950665</v>
      </c>
      <c r="D279" s="13">
        <f t="shared" si="17"/>
        <v>5369180</v>
      </c>
      <c r="E279" s="13">
        <f t="shared" si="17"/>
        <v>208404782.24000001</v>
      </c>
      <c r="F279" s="13">
        <f t="shared" si="17"/>
        <v>-212541298</v>
      </c>
      <c r="G279" s="13">
        <f t="shared" si="17"/>
        <v>0</v>
      </c>
      <c r="H279" s="13">
        <f t="shared" si="17"/>
        <v>40000000</v>
      </c>
      <c r="I279" s="13">
        <f t="shared" si="17"/>
        <v>0</v>
      </c>
      <c r="J279" s="13">
        <f t="shared" si="17"/>
        <v>1418122477.9800003</v>
      </c>
      <c r="K279" s="12"/>
      <c r="L279" s="12"/>
      <c r="AE279" s="46"/>
      <c r="AF279" s="46"/>
      <c r="AH279" s="46"/>
    </row>
    <row r="280" spans="1:34">
      <c r="A280" s="106"/>
      <c r="B280" s="12" t="s">
        <v>544</v>
      </c>
      <c r="C280" s="12"/>
      <c r="D280" s="14"/>
      <c r="E280" s="12"/>
      <c r="F280" s="12"/>
      <c r="G280" s="12"/>
      <c r="H280" s="12"/>
      <c r="I280" s="12"/>
      <c r="J280" s="12" t="s">
        <v>544</v>
      </c>
      <c r="K280" s="12"/>
      <c r="L280" s="12"/>
      <c r="AE280" s="46"/>
      <c r="AF280" s="46"/>
      <c r="AH280" s="46"/>
    </row>
    <row r="281" spans="1:34">
      <c r="A281" s="130" t="s">
        <v>27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AE281" s="46"/>
      <c r="AF281" s="46"/>
      <c r="AH281" s="46"/>
    </row>
    <row r="282" spans="1:34">
      <c r="A282" s="106" t="s">
        <v>326</v>
      </c>
      <c r="B282" s="12">
        <v>263362633.19999999</v>
      </c>
      <c r="C282" s="12"/>
      <c r="D282" s="12"/>
      <c r="E282" s="12">
        <v>0</v>
      </c>
      <c r="F282" s="12">
        <v>0</v>
      </c>
      <c r="G282" s="12">
        <v>0</v>
      </c>
      <c r="H282" s="12">
        <v>0</v>
      </c>
      <c r="I282" s="12">
        <v>110652500</v>
      </c>
      <c r="J282" s="13">
        <f t="shared" ref="J282:J292" si="18">SUM(B282:I282)</f>
        <v>374015133.19999999</v>
      </c>
      <c r="K282" s="12"/>
      <c r="L282" s="12"/>
      <c r="AE282" s="46"/>
      <c r="AF282" s="46"/>
      <c r="AH282" s="46"/>
    </row>
    <row r="283" spans="1:34">
      <c r="A283" s="106" t="s">
        <v>573</v>
      </c>
      <c r="B283" s="12">
        <v>529565245</v>
      </c>
      <c r="C283" s="12"/>
      <c r="D283" s="12"/>
      <c r="E283" s="12">
        <v>0</v>
      </c>
      <c r="F283" s="12">
        <v>0</v>
      </c>
      <c r="G283" s="12">
        <v>0</v>
      </c>
      <c r="H283" s="12">
        <v>0</v>
      </c>
      <c r="I283" s="12">
        <v>50182000</v>
      </c>
      <c r="J283" s="13">
        <f t="shared" si="18"/>
        <v>579747245</v>
      </c>
      <c r="K283" s="12"/>
      <c r="L283" s="12"/>
      <c r="AE283" s="46"/>
      <c r="AF283" s="46"/>
      <c r="AH283" s="46"/>
    </row>
    <row r="284" spans="1:34">
      <c r="A284" s="106" t="s">
        <v>278</v>
      </c>
      <c r="B284" s="12">
        <v>373124241.18000001</v>
      </c>
      <c r="C284" s="12"/>
      <c r="D284" s="12"/>
      <c r="E284" s="12">
        <v>0</v>
      </c>
      <c r="F284" s="12">
        <v>0</v>
      </c>
      <c r="G284" s="12">
        <v>0</v>
      </c>
      <c r="H284" s="12">
        <v>0</v>
      </c>
      <c r="I284" s="12">
        <v>160813700</v>
      </c>
      <c r="J284" s="13">
        <f t="shared" si="18"/>
        <v>533937941.18000001</v>
      </c>
      <c r="K284" s="12"/>
      <c r="L284" s="12"/>
      <c r="AE284" s="46"/>
      <c r="AF284" s="46"/>
      <c r="AH284" s="46"/>
    </row>
    <row r="285" spans="1:34">
      <c r="A285" s="106" t="s">
        <v>332</v>
      </c>
      <c r="B285" s="12">
        <v>169133689.57999998</v>
      </c>
      <c r="C285" s="12"/>
      <c r="D285" s="12"/>
      <c r="E285" s="12">
        <v>0</v>
      </c>
      <c r="F285" s="12">
        <v>0</v>
      </c>
      <c r="G285" s="12">
        <v>0</v>
      </c>
      <c r="H285" s="12">
        <v>0</v>
      </c>
      <c r="I285" s="12">
        <v>11602000</v>
      </c>
      <c r="J285" s="13">
        <f t="shared" si="18"/>
        <v>180735689.57999998</v>
      </c>
      <c r="K285" s="12"/>
      <c r="L285" s="12"/>
      <c r="AE285" s="46"/>
      <c r="AF285" s="46"/>
      <c r="AH285" s="46"/>
    </row>
    <row r="286" spans="1:34">
      <c r="A286" s="106" t="s">
        <v>334</v>
      </c>
      <c r="B286" s="12">
        <v>373843840</v>
      </c>
      <c r="C286" s="12"/>
      <c r="D286" s="12"/>
      <c r="E286" s="12">
        <v>0</v>
      </c>
      <c r="F286" s="12">
        <v>0</v>
      </c>
      <c r="G286" s="12">
        <v>0</v>
      </c>
      <c r="H286" s="12">
        <v>0</v>
      </c>
      <c r="I286" s="12">
        <v>71974000</v>
      </c>
      <c r="J286" s="13">
        <f t="shared" si="18"/>
        <v>445817840</v>
      </c>
      <c r="K286" s="12"/>
      <c r="L286" s="12"/>
      <c r="AE286" s="46"/>
      <c r="AF286" s="46"/>
      <c r="AH286" s="46"/>
    </row>
    <row r="287" spans="1:34">
      <c r="A287" s="106" t="s">
        <v>329</v>
      </c>
      <c r="B287" s="12">
        <v>268615175</v>
      </c>
      <c r="C287" s="12"/>
      <c r="D287" s="12"/>
      <c r="E287" s="12">
        <v>0</v>
      </c>
      <c r="F287" s="12">
        <v>0</v>
      </c>
      <c r="G287" s="12">
        <v>0</v>
      </c>
      <c r="H287" s="12">
        <v>0</v>
      </c>
      <c r="I287" s="12">
        <v>71865427</v>
      </c>
      <c r="J287" s="13">
        <f t="shared" si="18"/>
        <v>340480602</v>
      </c>
      <c r="K287" s="12"/>
      <c r="L287" s="12"/>
      <c r="AE287" s="46"/>
      <c r="AF287" s="46"/>
      <c r="AH287" s="46"/>
    </row>
    <row r="288" spans="1:34">
      <c r="A288" s="106" t="s">
        <v>28</v>
      </c>
      <c r="B288" s="12">
        <v>253282825.63</v>
      </c>
      <c r="C288" s="12"/>
      <c r="D288" s="12"/>
      <c r="E288" s="12">
        <v>0</v>
      </c>
      <c r="F288" s="12">
        <v>0</v>
      </c>
      <c r="G288" s="12">
        <v>-40000000</v>
      </c>
      <c r="H288" s="12">
        <v>0</v>
      </c>
      <c r="I288" s="12">
        <v>70051000</v>
      </c>
      <c r="J288" s="13">
        <f t="shared" si="18"/>
        <v>283333825.63</v>
      </c>
      <c r="K288" s="12"/>
      <c r="L288" s="12"/>
      <c r="AE288" s="46"/>
      <c r="AF288" s="46"/>
      <c r="AH288" s="46"/>
    </row>
    <row r="289" spans="1:34">
      <c r="A289" s="106" t="s">
        <v>50</v>
      </c>
      <c r="B289" s="12">
        <v>120920000</v>
      </c>
      <c r="C289" s="12"/>
      <c r="D289" s="12"/>
      <c r="E289" s="12">
        <v>0</v>
      </c>
      <c r="F289" s="12">
        <v>0</v>
      </c>
      <c r="G289" s="12">
        <v>0</v>
      </c>
      <c r="H289" s="12">
        <v>0</v>
      </c>
      <c r="I289" s="12">
        <v>42341200</v>
      </c>
      <c r="J289" s="13">
        <f t="shared" si="18"/>
        <v>163261200</v>
      </c>
      <c r="K289" s="12"/>
      <c r="L289" s="12"/>
      <c r="AE289" s="46"/>
      <c r="AF289" s="46"/>
      <c r="AH289" s="46"/>
    </row>
    <row r="290" spans="1:34">
      <c r="A290" s="106" t="s">
        <v>560</v>
      </c>
      <c r="B290" s="12">
        <v>15300000</v>
      </c>
      <c r="C290" s="12"/>
      <c r="D290" s="12"/>
      <c r="E290" s="12">
        <v>0</v>
      </c>
      <c r="F290" s="12">
        <v>0</v>
      </c>
      <c r="G290" s="12">
        <v>0</v>
      </c>
      <c r="H290" s="12">
        <v>0</v>
      </c>
      <c r="I290" s="12">
        <v>26463000</v>
      </c>
      <c r="J290" s="13">
        <f t="shared" si="18"/>
        <v>41763000</v>
      </c>
      <c r="K290" s="12"/>
      <c r="L290" s="12"/>
      <c r="AE290" s="46"/>
      <c r="AF290" s="46"/>
      <c r="AH290" s="46"/>
    </row>
    <row r="291" spans="1:34">
      <c r="A291" s="106" t="s">
        <v>330</v>
      </c>
      <c r="B291" s="12">
        <v>274784215</v>
      </c>
      <c r="C291" s="12"/>
      <c r="D291" s="12"/>
      <c r="E291" s="12">
        <v>0</v>
      </c>
      <c r="F291" s="12">
        <v>0</v>
      </c>
      <c r="G291" s="12">
        <v>0</v>
      </c>
      <c r="H291" s="12">
        <v>0</v>
      </c>
      <c r="I291" s="12">
        <v>60871271</v>
      </c>
      <c r="J291" s="13">
        <f t="shared" si="18"/>
        <v>335655486</v>
      </c>
      <c r="K291" s="12"/>
      <c r="L291" s="12"/>
      <c r="AE291" s="46"/>
      <c r="AF291" s="46"/>
      <c r="AH291" s="46"/>
    </row>
    <row r="292" spans="1:34">
      <c r="A292" s="106" t="s">
        <v>594</v>
      </c>
      <c r="B292" s="12">
        <v>111798039.34</v>
      </c>
      <c r="C292" s="12"/>
      <c r="D292" s="12"/>
      <c r="E292" s="12">
        <v>0</v>
      </c>
      <c r="F292" s="12">
        <v>0</v>
      </c>
      <c r="G292" s="12">
        <v>0</v>
      </c>
      <c r="H292" s="12">
        <v>0</v>
      </c>
      <c r="I292" s="14">
        <v>0</v>
      </c>
      <c r="J292" s="13">
        <f t="shared" si="18"/>
        <v>111798039.34</v>
      </c>
      <c r="K292" s="12"/>
      <c r="L292" s="12"/>
      <c r="AE292" s="46"/>
      <c r="AF292" s="46"/>
      <c r="AH292" s="46"/>
    </row>
    <row r="293" spans="1:34">
      <c r="A293" s="106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AE293" s="116"/>
      <c r="AF293" s="116"/>
      <c r="AH293" s="46"/>
    </row>
    <row r="294" spans="1:34">
      <c r="A294" s="131" t="s">
        <v>597</v>
      </c>
      <c r="B294" s="13">
        <f t="shared" ref="B294:I294" si="19">SUM(B279:B292)</f>
        <v>4125669052.6700006</v>
      </c>
      <c r="C294" s="13">
        <f t="shared" si="19"/>
        <v>4950665</v>
      </c>
      <c r="D294" s="13">
        <f t="shared" si="19"/>
        <v>5369180</v>
      </c>
      <c r="E294" s="13">
        <f t="shared" si="19"/>
        <v>208404782.24000001</v>
      </c>
      <c r="F294" s="13">
        <f t="shared" si="19"/>
        <v>-212541298</v>
      </c>
      <c r="G294" s="13">
        <f t="shared" si="19"/>
        <v>-40000000</v>
      </c>
      <c r="H294" s="13">
        <f t="shared" si="19"/>
        <v>40000000</v>
      </c>
      <c r="I294" s="13">
        <f t="shared" si="19"/>
        <v>676816098</v>
      </c>
      <c r="J294" s="13">
        <f>SUM(B294:I294)</f>
        <v>4808668479.9100008</v>
      </c>
      <c r="K294" s="12"/>
      <c r="L294" s="12"/>
      <c r="AE294" s="131" t="s">
        <v>544</v>
      </c>
      <c r="AF294" s="131"/>
      <c r="AH294" s="46"/>
    </row>
    <row r="295" spans="1:34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46"/>
      <c r="W295" s="46"/>
      <c r="AD295" s="116" t="s">
        <v>544</v>
      </c>
      <c r="AE295" s="18"/>
      <c r="AF295" s="18"/>
      <c r="AH295" s="46"/>
    </row>
    <row r="296" spans="1:34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46"/>
      <c r="W296" s="46"/>
      <c r="AD296" s="46"/>
      <c r="AE296" s="46"/>
      <c r="AF296" s="46"/>
      <c r="AH296" s="46"/>
    </row>
    <row r="297" spans="1:34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15" t="s">
        <v>544</v>
      </c>
      <c r="U297" s="30"/>
      <c r="V297" s="46"/>
      <c r="W297" s="46"/>
      <c r="AC297" s="116"/>
      <c r="AD297" s="46"/>
      <c r="AE297" s="46"/>
      <c r="AF297" s="46"/>
      <c r="AH297" s="46"/>
    </row>
    <row r="298" spans="1:34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 t="s">
        <v>544</v>
      </c>
      <c r="U298" s="30"/>
      <c r="V298" s="46"/>
      <c r="W298" s="46"/>
      <c r="AD298" s="46"/>
      <c r="AE298" s="46"/>
      <c r="AF298" s="46"/>
      <c r="AH298" s="46"/>
    </row>
    <row r="299" spans="1:34">
      <c r="A299" s="144" t="s">
        <v>957</v>
      </c>
      <c r="C299" s="113" t="s">
        <v>927</v>
      </c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46"/>
      <c r="W299" s="46"/>
      <c r="AD299" s="46"/>
      <c r="AE299" s="46"/>
      <c r="AF299" s="46"/>
      <c r="AH299" s="46"/>
    </row>
    <row r="300" spans="1:34">
      <c r="A300" s="144"/>
      <c r="C300" s="113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46"/>
      <c r="W300" s="46"/>
      <c r="AD300" s="46"/>
      <c r="AE300" s="46"/>
      <c r="AF300" s="46"/>
      <c r="AH300" s="46"/>
    </row>
    <row r="301" spans="1:34">
      <c r="B301" s="127" t="s">
        <v>251</v>
      </c>
      <c r="C301" s="127" t="s">
        <v>252</v>
      </c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46"/>
      <c r="W301" s="46"/>
      <c r="AD301" s="46"/>
      <c r="AE301" s="46"/>
      <c r="AF301" s="46"/>
      <c r="AH301" s="46"/>
    </row>
    <row r="302" spans="1:34">
      <c r="B302" s="127"/>
      <c r="C302" s="127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46"/>
      <c r="W302" s="46"/>
      <c r="AD302" s="46"/>
      <c r="AE302" s="46"/>
      <c r="AF302" s="46"/>
      <c r="AH302" s="46"/>
    </row>
    <row r="303" spans="1:34">
      <c r="A303" s="46" t="s">
        <v>958</v>
      </c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46"/>
      <c r="W303" s="46"/>
      <c r="AD303" s="46"/>
      <c r="AE303" s="46"/>
      <c r="AF303" s="46"/>
      <c r="AH303" s="46"/>
    </row>
    <row r="304" spans="1:34">
      <c r="A304" s="46" t="s">
        <v>959</v>
      </c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46"/>
      <c r="W304" s="46"/>
      <c r="AD304" s="46"/>
      <c r="AE304" s="46"/>
      <c r="AF304" s="46"/>
      <c r="AH304" s="46"/>
    </row>
    <row r="305" spans="1:34">
      <c r="A305" s="46" t="s">
        <v>960</v>
      </c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46"/>
      <c r="W305" s="46"/>
      <c r="AD305" s="46"/>
      <c r="AE305" s="46"/>
      <c r="AF305" s="46"/>
      <c r="AH305" s="46"/>
    </row>
    <row r="306" spans="1:34">
      <c r="A306" s="46" t="s">
        <v>961</v>
      </c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46"/>
      <c r="W306" s="46"/>
      <c r="AD306" s="46"/>
      <c r="AE306" s="46"/>
      <c r="AF306" s="46"/>
      <c r="AH306" s="46"/>
    </row>
    <row r="307" spans="1:34">
      <c r="A307" s="46" t="s">
        <v>962</v>
      </c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46"/>
      <c r="W307" s="46"/>
      <c r="AD307" s="46"/>
      <c r="AE307" s="46"/>
      <c r="AF307" s="46"/>
      <c r="AH307" s="46"/>
    </row>
    <row r="308" spans="1:34">
      <c r="A308" s="46" t="s">
        <v>963</v>
      </c>
      <c r="B308" s="14">
        <v>1320241132</v>
      </c>
      <c r="C308" s="14">
        <v>170490730</v>
      </c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46"/>
      <c r="W308" s="46"/>
      <c r="AD308" s="46"/>
      <c r="AE308" s="46"/>
      <c r="AF308" s="46"/>
      <c r="AH308" s="46"/>
    </row>
    <row r="309" spans="1:34"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46"/>
      <c r="W309" s="46"/>
      <c r="AD309" s="46"/>
      <c r="AE309" s="46"/>
      <c r="AF309" s="46"/>
      <c r="AH309" s="46"/>
    </row>
    <row r="310" spans="1:34">
      <c r="A310" s="144" t="s">
        <v>439</v>
      </c>
      <c r="B310" s="17">
        <v>1320241132</v>
      </c>
      <c r="C310" s="17">
        <v>170490730</v>
      </c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46"/>
      <c r="W310" s="46"/>
      <c r="AD310" s="46"/>
      <c r="AE310" s="46"/>
      <c r="AF310" s="46"/>
      <c r="AH310" s="46"/>
    </row>
    <row r="311" spans="1:34">
      <c r="B311" s="14"/>
      <c r="C311" s="14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46"/>
      <c r="W311" s="46"/>
      <c r="AD311" s="46"/>
      <c r="AE311" s="46"/>
      <c r="AF311" s="46"/>
      <c r="AH311" s="46"/>
    </row>
    <row r="312" spans="1:34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46"/>
      <c r="W312" s="46"/>
      <c r="AD312" s="46"/>
      <c r="AE312" s="46"/>
      <c r="AF312" s="46"/>
      <c r="AH312" s="46"/>
    </row>
    <row r="313" spans="1:34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46"/>
      <c r="W313" s="46"/>
      <c r="AD313" s="46"/>
      <c r="AE313" s="46"/>
      <c r="AF313" s="46"/>
      <c r="AH313" s="46"/>
    </row>
    <row r="314" spans="1:34">
      <c r="A314" s="30"/>
      <c r="B314" s="30"/>
      <c r="C314" s="30"/>
      <c r="D314" s="30"/>
      <c r="E314" s="30"/>
      <c r="F314" s="138" t="s">
        <v>927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46"/>
      <c r="W314" s="46"/>
      <c r="AD314" s="46"/>
      <c r="AE314" s="46"/>
      <c r="AF314" s="46"/>
      <c r="AH314" s="46"/>
    </row>
    <row r="315" spans="1:34">
      <c r="A315" s="138" t="s">
        <v>957</v>
      </c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46"/>
      <c r="W315" s="46"/>
      <c r="AD315" s="46"/>
      <c r="AE315" s="46"/>
      <c r="AF315" s="46"/>
      <c r="AH315" s="46"/>
    </row>
    <row r="316" spans="1:34">
      <c r="A316" s="30"/>
      <c r="B316" s="21" t="s">
        <v>419</v>
      </c>
      <c r="C316" s="21" t="s">
        <v>34</v>
      </c>
      <c r="D316" s="139" t="s">
        <v>35</v>
      </c>
      <c r="E316" s="332" t="s">
        <v>679</v>
      </c>
      <c r="F316" s="21" t="s">
        <v>3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46"/>
      <c r="W316" s="46"/>
      <c r="AD316" s="46"/>
      <c r="AE316" s="46"/>
      <c r="AF316" s="46"/>
      <c r="AH316" s="46"/>
    </row>
    <row r="317" spans="1:34">
      <c r="A317" s="138" t="s">
        <v>36</v>
      </c>
      <c r="B317" s="21" t="s">
        <v>3</v>
      </c>
      <c r="C317" s="21" t="s">
        <v>299</v>
      </c>
      <c r="D317" s="139" t="s">
        <v>322</v>
      </c>
      <c r="E317" s="332" t="s">
        <v>949</v>
      </c>
      <c r="F317" s="21" t="s">
        <v>321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46"/>
      <c r="W317" s="46"/>
      <c r="AD317" s="46"/>
      <c r="AE317" s="46"/>
      <c r="AF317" s="46"/>
      <c r="AH317" s="46"/>
    </row>
    <row r="318" spans="1:34">
      <c r="A318" s="140"/>
      <c r="B318" s="21" t="s">
        <v>321</v>
      </c>
      <c r="C318" s="21" t="s">
        <v>302</v>
      </c>
      <c r="D318" s="139" t="s">
        <v>302</v>
      </c>
      <c r="E318" s="139" t="s">
        <v>950</v>
      </c>
      <c r="F318" s="21" t="s">
        <v>121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46"/>
      <c r="W318" s="46"/>
      <c r="AD318" s="46"/>
      <c r="AE318" s="46"/>
      <c r="AF318" s="46"/>
      <c r="AH318" s="46"/>
    </row>
    <row r="319" spans="1:34">
      <c r="A319" s="140"/>
      <c r="B319" s="21" t="s">
        <v>120</v>
      </c>
      <c r="C319" s="140"/>
      <c r="D319" s="141" t="s">
        <v>544</v>
      </c>
      <c r="E319" s="141"/>
      <c r="F319" s="14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46"/>
      <c r="W319" s="46"/>
      <c r="AD319" s="46"/>
      <c r="AE319" s="46"/>
      <c r="AF319" s="46"/>
      <c r="AH319" s="46"/>
    </row>
    <row r="320" spans="1:34">
      <c r="A320" s="140"/>
      <c r="B320" s="51"/>
      <c r="C320" s="30"/>
      <c r="D320" s="115"/>
      <c r="E320" s="115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46"/>
      <c r="W320" s="46"/>
      <c r="AD320" s="46"/>
      <c r="AE320" s="46"/>
      <c r="AF320" s="46"/>
      <c r="AH320" s="46"/>
    </row>
    <row r="321" spans="1:34">
      <c r="A321" s="30" t="s">
        <v>49</v>
      </c>
      <c r="B321" s="12">
        <v>4257591</v>
      </c>
      <c r="C321" s="12">
        <v>1658515182</v>
      </c>
      <c r="D321" s="24">
        <f>2908515182-700000000</f>
        <v>2208515182</v>
      </c>
      <c r="E321" s="24">
        <v>0</v>
      </c>
      <c r="F321" s="24">
        <f>+B321-C321+D321</f>
        <v>554257591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46"/>
      <c r="W321" s="46"/>
      <c r="AD321" s="46"/>
      <c r="AE321" s="46"/>
      <c r="AF321" s="46"/>
      <c r="AH321" s="46"/>
    </row>
    <row r="322" spans="1:34">
      <c r="A322" s="30" t="s">
        <v>410</v>
      </c>
      <c r="B322" s="12">
        <v>646952</v>
      </c>
      <c r="C322" s="12">
        <v>0</v>
      </c>
      <c r="D322" s="24">
        <v>69908</v>
      </c>
      <c r="E322" s="24">
        <v>0</v>
      </c>
      <c r="F322" s="24">
        <f t="shared" ref="F322:F330" si="20">+B322-C322+D322</f>
        <v>716860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46"/>
      <c r="W322" s="46"/>
      <c r="AD322" s="46"/>
      <c r="AE322" s="46"/>
      <c r="AF322" s="46"/>
      <c r="AH322" s="46"/>
    </row>
    <row r="323" spans="1:34">
      <c r="A323" s="30" t="s">
        <v>416</v>
      </c>
      <c r="B323" s="12">
        <v>64701200</v>
      </c>
      <c r="C323" s="12">
        <v>81980200</v>
      </c>
      <c r="D323" s="24">
        <v>52684000</v>
      </c>
      <c r="E323" s="24">
        <v>0</v>
      </c>
      <c r="F323" s="24">
        <f t="shared" si="20"/>
        <v>35405000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46"/>
      <c r="W323" s="46"/>
      <c r="AD323" s="46"/>
      <c r="AE323" s="46"/>
      <c r="AF323" s="46"/>
      <c r="AH323" s="46"/>
    </row>
    <row r="324" spans="1:34">
      <c r="A324" s="30" t="s">
        <v>37</v>
      </c>
      <c r="B324" s="12">
        <v>300000</v>
      </c>
      <c r="C324" s="12">
        <v>200000</v>
      </c>
      <c r="D324" s="24">
        <f>'[2]c-r&amp;p'!D2831</f>
        <v>0</v>
      </c>
      <c r="E324" s="24">
        <v>0</v>
      </c>
      <c r="F324" s="24">
        <f t="shared" si="20"/>
        <v>100000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46"/>
      <c r="W324" s="46"/>
      <c r="AD324" s="46"/>
      <c r="AE324" s="46"/>
      <c r="AF324" s="46"/>
      <c r="AH324" s="46"/>
    </row>
    <row r="325" spans="1:34">
      <c r="A325" s="30" t="s">
        <v>38</v>
      </c>
      <c r="B325" s="12">
        <v>337000</v>
      </c>
      <c r="C325" s="12">
        <v>0</v>
      </c>
      <c r="D325" s="12">
        <v>2102000</v>
      </c>
      <c r="E325" s="24">
        <v>0</v>
      </c>
      <c r="F325" s="24">
        <f t="shared" si="20"/>
        <v>2439000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46"/>
      <c r="W325" s="46"/>
      <c r="AD325" s="46"/>
      <c r="AE325" s="46"/>
      <c r="AF325" s="46"/>
      <c r="AH325" s="46"/>
    </row>
    <row r="326" spans="1:34">
      <c r="A326" s="30" t="s">
        <v>546</v>
      </c>
      <c r="B326" s="12">
        <v>183399.99999999255</v>
      </c>
      <c r="C326" s="24">
        <v>83400</v>
      </c>
      <c r="D326" s="24">
        <v>2016034</v>
      </c>
      <c r="E326" s="24">
        <v>0</v>
      </c>
      <c r="F326" s="24">
        <f t="shared" si="20"/>
        <v>2116033.9999999925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46"/>
      <c r="W326" s="46"/>
      <c r="AD326" s="46"/>
      <c r="AE326" s="46"/>
      <c r="AF326" s="46"/>
      <c r="AH326" s="46"/>
    </row>
    <row r="327" spans="1:34">
      <c r="A327" s="30" t="s">
        <v>547</v>
      </c>
      <c r="B327" s="12">
        <v>80000</v>
      </c>
      <c r="C327" s="24">
        <v>147000</v>
      </c>
      <c r="D327" s="24">
        <v>67000</v>
      </c>
      <c r="E327" s="24">
        <v>0</v>
      </c>
      <c r="F327" s="24">
        <f t="shared" si="20"/>
        <v>0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46"/>
      <c r="W327" s="46"/>
      <c r="AD327" s="46"/>
      <c r="AE327" s="46"/>
      <c r="AF327" s="46"/>
      <c r="AH327" s="46"/>
    </row>
    <row r="328" spans="1:34">
      <c r="A328" s="30" t="s">
        <v>548</v>
      </c>
      <c r="B328" s="12">
        <v>97700000</v>
      </c>
      <c r="C328" s="24">
        <v>317500000</v>
      </c>
      <c r="D328" s="24">
        <v>242549541</v>
      </c>
      <c r="E328" s="24">
        <v>0</v>
      </c>
      <c r="F328" s="24">
        <f t="shared" si="20"/>
        <v>22749541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46"/>
      <c r="W328" s="46"/>
      <c r="AD328" s="46"/>
      <c r="AE328" s="46"/>
      <c r="AF328" s="46"/>
      <c r="AH328" s="46"/>
    </row>
    <row r="329" spans="1:34">
      <c r="A329" s="30" t="s">
        <v>549</v>
      </c>
      <c r="B329" s="12">
        <v>234324</v>
      </c>
      <c r="C329" s="24">
        <v>234324</v>
      </c>
      <c r="D329" s="24">
        <v>0</v>
      </c>
      <c r="E329" s="24">
        <v>0</v>
      </c>
      <c r="F329" s="24">
        <f t="shared" si="20"/>
        <v>0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46"/>
      <c r="W329" s="46"/>
      <c r="AD329" s="46"/>
      <c r="AE329" s="46"/>
      <c r="AF329" s="46"/>
      <c r="AH329" s="46"/>
    </row>
    <row r="330" spans="1:34">
      <c r="A330" s="30" t="s">
        <v>359</v>
      </c>
      <c r="B330" s="12">
        <v>1440000</v>
      </c>
      <c r="C330" s="24">
        <f>'[2]c-r&amp;p'!O508</f>
        <v>0</v>
      </c>
      <c r="D330" s="24">
        <v>561000</v>
      </c>
      <c r="E330" s="24">
        <v>0</v>
      </c>
      <c r="F330" s="24">
        <f t="shared" si="20"/>
        <v>2001000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46"/>
      <c r="W330" s="46"/>
      <c r="AD330" s="46"/>
      <c r="AE330" s="46"/>
      <c r="AF330" s="46"/>
      <c r="AH330" s="46"/>
    </row>
    <row r="331" spans="1:34">
      <c r="A331" s="30" t="s">
        <v>550</v>
      </c>
      <c r="B331" s="12">
        <v>610263</v>
      </c>
      <c r="C331" s="12">
        <v>248964</v>
      </c>
      <c r="D331" s="24">
        <v>70000</v>
      </c>
      <c r="E331" s="24">
        <v>24807</v>
      </c>
      <c r="F331" s="24">
        <f>+B331-C331+D331+E331</f>
        <v>456106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46"/>
      <c r="W331" s="46"/>
      <c r="AD331" s="46"/>
      <c r="AE331" s="46"/>
      <c r="AF331" s="46"/>
      <c r="AH331" s="46"/>
    </row>
    <row r="332" spans="1:34">
      <c r="A332" s="30"/>
      <c r="B332" s="24"/>
      <c r="C332" s="24"/>
      <c r="D332" s="24"/>
      <c r="E332" s="24"/>
      <c r="F332" s="24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46"/>
      <c r="W332" s="46"/>
      <c r="AD332" s="46"/>
      <c r="AE332" s="46"/>
      <c r="AF332" s="46"/>
      <c r="AH332" s="46"/>
    </row>
    <row r="333" spans="1:34">
      <c r="A333" s="142" t="s">
        <v>294</v>
      </c>
      <c r="B333" s="60">
        <f>SUM(B321:B331)</f>
        <v>170490730</v>
      </c>
      <c r="C333" s="60">
        <f>SUM(C321:C331)</f>
        <v>2058909070</v>
      </c>
      <c r="D333" s="60">
        <f>SUM(D321:D331)</f>
        <v>2508634665</v>
      </c>
      <c r="E333" s="60">
        <f>SUM(E321:E331)</f>
        <v>24807</v>
      </c>
      <c r="F333" s="60">
        <f>SUM(F321:F331)</f>
        <v>620241132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46"/>
      <c r="W333" s="46"/>
      <c r="AD333" s="46"/>
      <c r="AE333" s="46"/>
      <c r="AF333" s="46"/>
      <c r="AH333" s="46"/>
    </row>
    <row r="334" spans="1:34">
      <c r="B334" s="24"/>
      <c r="C334" s="24"/>
      <c r="D334" s="24"/>
      <c r="E334" s="24"/>
      <c r="F334" s="24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46"/>
      <c r="W334" s="46"/>
      <c r="AD334" s="46"/>
      <c r="AE334" s="46"/>
      <c r="AF334" s="46"/>
      <c r="AH334" s="46"/>
    </row>
    <row r="335" spans="1:34">
      <c r="A335" s="30"/>
      <c r="B335" s="24" t="s">
        <v>544</v>
      </c>
      <c r="C335" s="24" t="s">
        <v>544</v>
      </c>
      <c r="D335" s="24" t="s">
        <v>544</v>
      </c>
      <c r="E335" s="24"/>
      <c r="F335" s="24" t="s">
        <v>544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46"/>
      <c r="W335" s="46"/>
      <c r="AD335" s="46"/>
      <c r="AE335" s="46"/>
      <c r="AF335" s="46"/>
      <c r="AH335" s="46"/>
    </row>
    <row r="336" spans="1:34">
      <c r="A336" s="30" t="s">
        <v>802</v>
      </c>
      <c r="B336" s="24">
        <v>0</v>
      </c>
      <c r="C336" s="24">
        <v>0</v>
      </c>
      <c r="D336" s="24">
        <v>700000000</v>
      </c>
      <c r="E336" s="24"/>
      <c r="F336" s="24">
        <f t="shared" ref="F336" si="21">+B336-C336+D336</f>
        <v>700000000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46"/>
      <c r="W336" s="46"/>
      <c r="AD336" s="46"/>
      <c r="AE336" s="46"/>
      <c r="AF336" s="46"/>
      <c r="AH336" s="46"/>
    </row>
    <row r="337" spans="1:34">
      <c r="A337" s="30" t="s">
        <v>803</v>
      </c>
      <c r="B337" s="157"/>
      <c r="C337" s="157"/>
      <c r="D337" s="157"/>
      <c r="E337" s="157"/>
      <c r="F337" s="157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46"/>
      <c r="W337" s="46"/>
      <c r="AD337" s="46"/>
      <c r="AE337" s="46"/>
      <c r="AF337" s="46"/>
      <c r="AH337" s="46"/>
    </row>
    <row r="338" spans="1:34" ht="13.5" thickBot="1">
      <c r="A338" s="22" t="s">
        <v>611</v>
      </c>
      <c r="B338" s="27">
        <f t="shared" ref="B338" si="22">SUM(B333:B336)</f>
        <v>170490730</v>
      </c>
      <c r="C338" s="27">
        <f>SUM(C333:C336)</f>
        <v>2058909070</v>
      </c>
      <c r="D338" s="27">
        <f>SUM(D333:D336)</f>
        <v>3208634665</v>
      </c>
      <c r="E338" s="27">
        <f>SUM(E333:E336)</f>
        <v>24807</v>
      </c>
      <c r="F338" s="27">
        <f>SUM(F333:F336)</f>
        <v>1320241132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46"/>
      <c r="W338" s="46"/>
      <c r="AD338" s="46"/>
      <c r="AE338" s="46"/>
      <c r="AF338" s="46"/>
      <c r="AH338" s="46"/>
    </row>
    <row r="339" spans="1:34" ht="13.5" thickTop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46"/>
      <c r="W339" s="46"/>
      <c r="AD339" s="46"/>
      <c r="AE339" s="46"/>
      <c r="AF339" s="46"/>
      <c r="AH339" s="46"/>
    </row>
    <row r="340" spans="1:34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46"/>
      <c r="W340" s="46"/>
      <c r="AD340" s="46"/>
      <c r="AE340" s="46"/>
      <c r="AF340" s="46"/>
      <c r="AH340" s="46"/>
    </row>
    <row r="341" spans="1:34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46"/>
      <c r="W341" s="46"/>
      <c r="AD341" s="46"/>
      <c r="AE341" s="46"/>
      <c r="AF341" s="46"/>
      <c r="AH341" s="46"/>
    </row>
    <row r="342" spans="1:34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46"/>
      <c r="W342" s="46"/>
      <c r="AD342" s="46"/>
      <c r="AE342" s="46"/>
      <c r="AF342" s="46"/>
      <c r="AH342" s="46"/>
    </row>
    <row r="343" spans="1:34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46"/>
      <c r="W343" s="46"/>
      <c r="AD343" s="46"/>
      <c r="AE343" s="46"/>
      <c r="AF343" s="46"/>
      <c r="AH343" s="46"/>
    </row>
    <row r="344" spans="1:34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46"/>
      <c r="W344" s="46"/>
      <c r="AD344" s="46"/>
      <c r="AE344" s="46"/>
      <c r="AF344" s="46"/>
      <c r="AH344" s="46"/>
    </row>
    <row r="345" spans="1:34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46"/>
      <c r="W345" s="46"/>
      <c r="AD345" s="46"/>
      <c r="AE345" s="46"/>
      <c r="AF345" s="46"/>
      <c r="AH345" s="46"/>
    </row>
    <row r="346" spans="1:34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46"/>
      <c r="W346" s="46"/>
      <c r="AD346" s="46"/>
      <c r="AE346" s="46"/>
      <c r="AF346" s="46"/>
      <c r="AH346" s="46"/>
    </row>
    <row r="347" spans="1:34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46"/>
      <c r="W347" s="46"/>
      <c r="AD347" s="46"/>
      <c r="AE347" s="46"/>
      <c r="AF347" s="46"/>
      <c r="AH347" s="46"/>
    </row>
    <row r="348" spans="1:34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46"/>
      <c r="W348" s="46"/>
      <c r="AD348" s="46"/>
      <c r="AE348" s="46"/>
      <c r="AF348" s="46"/>
      <c r="AH348" s="46"/>
    </row>
    <row r="349" spans="1:34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46"/>
      <c r="W349" s="46"/>
      <c r="AD349" s="46"/>
      <c r="AE349" s="46"/>
      <c r="AF349" s="46"/>
      <c r="AH349" s="46"/>
    </row>
    <row r="350" spans="1:34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46"/>
      <c r="W350" s="46"/>
      <c r="AD350" s="46"/>
      <c r="AE350" s="46"/>
      <c r="AF350" s="46"/>
      <c r="AH350" s="46"/>
    </row>
    <row r="351" spans="1:34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46"/>
      <c r="W351" s="46"/>
      <c r="AD351" s="46"/>
      <c r="AE351" s="46"/>
      <c r="AF351" s="46"/>
      <c r="AH351" s="46"/>
    </row>
    <row r="352" spans="1:34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46"/>
      <c r="W352" s="46"/>
      <c r="AD352" s="46"/>
      <c r="AE352" s="46"/>
      <c r="AF352" s="46"/>
      <c r="AH352" s="46"/>
    </row>
    <row r="353" spans="1:34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46"/>
      <c r="W353" s="46"/>
      <c r="AD353" s="46"/>
      <c r="AE353" s="46"/>
      <c r="AF353" s="46"/>
      <c r="AH353" s="46"/>
    </row>
    <row r="354" spans="1:34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46"/>
      <c r="W354" s="46"/>
      <c r="AD354" s="46"/>
      <c r="AE354" s="46"/>
      <c r="AF354" s="46"/>
      <c r="AH354" s="46"/>
    </row>
    <row r="355" spans="1:34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15" t="s">
        <v>544</v>
      </c>
      <c r="U355" s="30"/>
      <c r="V355" s="46"/>
      <c r="W355" s="46"/>
      <c r="AD355" s="46"/>
      <c r="AE355" s="46"/>
      <c r="AF355" s="46"/>
      <c r="AH355" s="46"/>
    </row>
    <row r="356" spans="1:34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46"/>
      <c r="W356" s="46"/>
      <c r="AD356" s="46"/>
      <c r="AE356" s="46"/>
      <c r="AF356" s="46"/>
      <c r="AH356" s="46"/>
    </row>
    <row r="357" spans="1:34" ht="15.75">
      <c r="A357" s="30"/>
      <c r="B357" s="30"/>
      <c r="C357" s="78" t="s">
        <v>928</v>
      </c>
      <c r="D357" s="7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46"/>
      <c r="W357" s="46"/>
      <c r="AD357" s="46"/>
      <c r="AE357" s="46"/>
      <c r="AF357" s="46"/>
      <c r="AH357" s="46"/>
    </row>
    <row r="358" spans="1:34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46"/>
      <c r="W358" s="46"/>
      <c r="AD358" s="46"/>
      <c r="AE358" s="46"/>
      <c r="AF358" s="46"/>
      <c r="AH358" s="46"/>
    </row>
    <row r="359" spans="1:34" ht="15.75">
      <c r="A359" s="24"/>
      <c r="B359" s="80" t="s">
        <v>82</v>
      </c>
      <c r="C359" s="80"/>
      <c r="D359" s="80"/>
      <c r="E359" s="80"/>
      <c r="F359" s="80"/>
      <c r="G359" s="80"/>
      <c r="H359" s="46"/>
      <c r="I359" s="80"/>
      <c r="J359" s="80"/>
      <c r="K359" s="15"/>
      <c r="L359" s="15"/>
      <c r="M359" s="15"/>
      <c r="N359" s="15"/>
      <c r="O359" s="15"/>
      <c r="P359" s="15"/>
      <c r="Q359" s="15"/>
      <c r="R359" s="46"/>
      <c r="S359" s="132"/>
      <c r="T359" s="132"/>
      <c r="U359" s="30"/>
      <c r="V359" s="46"/>
      <c r="W359" s="46"/>
      <c r="AD359" s="46"/>
      <c r="AE359" s="46"/>
      <c r="AF359" s="46"/>
      <c r="AH359" s="46"/>
    </row>
    <row r="360" spans="1:34">
      <c r="A360" s="15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46"/>
      <c r="T360" s="46"/>
      <c r="U360" s="30"/>
      <c r="V360" s="46"/>
      <c r="W360" s="46"/>
      <c r="AD360" s="46"/>
      <c r="AE360" s="46"/>
      <c r="AF360" s="46"/>
      <c r="AH360" s="46"/>
    </row>
    <row r="361" spans="1:34">
      <c r="A361" s="12"/>
      <c r="B361" s="15"/>
      <c r="C361" s="15"/>
      <c r="D361" s="15"/>
      <c r="E361" s="15"/>
      <c r="F361" s="15"/>
      <c r="G361" s="15"/>
      <c r="H361" s="15"/>
      <c r="I361" s="15"/>
      <c r="J361" s="15"/>
      <c r="K361" s="12"/>
      <c r="L361" s="12"/>
      <c r="M361" s="12"/>
      <c r="N361" s="12"/>
      <c r="O361" s="12"/>
      <c r="P361" s="12"/>
      <c r="Q361" s="12"/>
      <c r="R361" s="12"/>
      <c r="S361" s="46"/>
      <c r="T361" s="46"/>
      <c r="U361" s="30"/>
      <c r="V361" s="46"/>
      <c r="W361" s="46"/>
      <c r="AD361" s="46"/>
      <c r="AE361" s="46"/>
      <c r="AF361" s="46"/>
      <c r="AH361" s="46"/>
    </row>
    <row r="362" spans="1:34">
      <c r="A362" s="133" t="s">
        <v>19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46"/>
      <c r="T362" s="46"/>
      <c r="U362" s="30"/>
      <c r="V362" s="46"/>
      <c r="W362" s="46"/>
      <c r="AD362" s="46"/>
      <c r="AE362" s="46"/>
      <c r="AF362" s="46"/>
      <c r="AH362" s="46"/>
    </row>
    <row r="363" spans="1:34">
      <c r="A363" s="12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34"/>
      <c r="T363" s="134"/>
      <c r="U363" s="30"/>
      <c r="V363" s="46"/>
      <c r="W363" s="46"/>
      <c r="AD363" s="46"/>
      <c r="AE363" s="46"/>
      <c r="AF363" s="46"/>
      <c r="AH363" s="46"/>
    </row>
    <row r="364" spans="1:34">
      <c r="A364" s="12"/>
      <c r="B364" s="79" t="s">
        <v>599</v>
      </c>
      <c r="C364" s="79" t="s">
        <v>599</v>
      </c>
      <c r="D364" s="79"/>
      <c r="E364" s="12"/>
      <c r="F364" s="12"/>
      <c r="G364" s="12"/>
      <c r="H364" s="12"/>
      <c r="I364" s="12"/>
      <c r="J364" s="12"/>
      <c r="K364" s="46"/>
      <c r="L364" s="46"/>
      <c r="M364" s="46"/>
      <c r="N364" s="46"/>
      <c r="O364" s="46"/>
      <c r="P364" s="46"/>
      <c r="Q364" s="46"/>
      <c r="R364" s="46"/>
      <c r="S364" s="135"/>
      <c r="T364" s="135"/>
      <c r="U364" s="30"/>
      <c r="V364" s="46"/>
      <c r="W364" s="46"/>
      <c r="AD364" s="46"/>
      <c r="AE364" s="46"/>
      <c r="AF364" s="46"/>
      <c r="AH364" s="46"/>
    </row>
    <row r="365" spans="1:34">
      <c r="A365" s="12"/>
      <c r="B365" s="74" t="s">
        <v>81</v>
      </c>
      <c r="C365" s="80" t="s">
        <v>119</v>
      </c>
      <c r="D365" s="80"/>
      <c r="E365" s="12"/>
      <c r="F365" s="12"/>
      <c r="G365" s="12"/>
      <c r="H365" s="12"/>
      <c r="I365" s="12"/>
      <c r="J365" s="12"/>
      <c r="K365" s="46"/>
      <c r="L365" s="46"/>
      <c r="M365" s="46"/>
      <c r="N365" s="46"/>
      <c r="O365" s="46"/>
      <c r="P365" s="46"/>
      <c r="Q365" s="46"/>
      <c r="R365" s="46"/>
      <c r="S365" s="110"/>
      <c r="T365" s="110"/>
      <c r="U365" s="30"/>
      <c r="V365" s="46"/>
      <c r="W365" s="46"/>
      <c r="AD365" s="46"/>
      <c r="AE365" s="46"/>
      <c r="AF365" s="46"/>
      <c r="AH365" s="46"/>
    </row>
    <row r="366" spans="1:34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30"/>
      <c r="V366" s="46"/>
      <c r="W366" s="46"/>
      <c r="AD366" s="46"/>
      <c r="AE366" s="46"/>
      <c r="AF366" s="46"/>
      <c r="AH366" s="46"/>
    </row>
    <row r="367" spans="1:34">
      <c r="A367" s="12"/>
      <c r="B367" s="15"/>
      <c r="C367" s="15"/>
      <c r="D367" s="15"/>
      <c r="E367" s="12"/>
      <c r="F367" s="12"/>
      <c r="G367" s="12"/>
      <c r="H367" s="12"/>
      <c r="I367" s="12"/>
      <c r="J367" s="12"/>
      <c r="K367" s="46"/>
      <c r="L367" s="46"/>
      <c r="M367" s="46"/>
      <c r="N367" s="46"/>
      <c r="O367" s="46"/>
      <c r="P367" s="46"/>
      <c r="Q367" s="46"/>
      <c r="R367" s="46"/>
      <c r="S367" s="134"/>
      <c r="T367" s="134"/>
      <c r="U367" s="30"/>
      <c r="V367" s="46"/>
      <c r="W367" s="46"/>
      <c r="AD367" s="46"/>
      <c r="AE367" s="46"/>
      <c r="AF367" s="46"/>
      <c r="AH367" s="46"/>
    </row>
    <row r="368" spans="1:34">
      <c r="A368" s="136" t="s">
        <v>612</v>
      </c>
      <c r="B368" s="12">
        <v>101604012.48999999</v>
      </c>
      <c r="C368" s="12">
        <v>101321218.40000001</v>
      </c>
      <c r="D368" s="12"/>
      <c r="E368" s="12"/>
      <c r="F368" s="12"/>
      <c r="G368" s="12"/>
      <c r="H368" s="12"/>
      <c r="I368" s="12"/>
      <c r="J368" s="12"/>
      <c r="K368" s="46"/>
      <c r="L368" s="46"/>
      <c r="M368" s="46"/>
      <c r="N368" s="46"/>
      <c r="O368" s="46"/>
      <c r="P368" s="46"/>
      <c r="Q368" s="46"/>
      <c r="R368" s="46"/>
      <c r="S368" s="12"/>
      <c r="T368" s="12"/>
      <c r="U368" s="30"/>
      <c r="V368" s="46"/>
      <c r="W368" s="46"/>
      <c r="AD368" s="46"/>
      <c r="AE368" s="46"/>
      <c r="AF368" s="46"/>
      <c r="AH368" s="46"/>
    </row>
    <row r="369" spans="1:34">
      <c r="A369" s="137"/>
      <c r="B369" s="12"/>
      <c r="C369" s="12"/>
      <c r="D369" s="12"/>
      <c r="E369" s="12"/>
      <c r="F369" s="12"/>
      <c r="G369" s="12"/>
      <c r="H369" s="12"/>
      <c r="I369" s="12"/>
      <c r="J369" s="12"/>
      <c r="K369" s="46"/>
      <c r="L369" s="46"/>
      <c r="M369" s="46"/>
      <c r="N369" s="46"/>
      <c r="O369" s="46"/>
      <c r="P369" s="46"/>
      <c r="Q369" s="46"/>
      <c r="R369" s="46"/>
      <c r="S369" s="12"/>
      <c r="T369" s="12"/>
      <c r="U369" s="30"/>
      <c r="V369" s="46"/>
      <c r="W369" s="46"/>
      <c r="AD369" s="46"/>
      <c r="AE369" s="46"/>
      <c r="AF369" s="46"/>
      <c r="AH369" s="46"/>
    </row>
    <row r="370" spans="1:34">
      <c r="A370" s="136" t="s">
        <v>613</v>
      </c>
      <c r="B370" s="12">
        <v>34946485.939999998</v>
      </c>
      <c r="C370" s="12">
        <v>4100792.46</v>
      </c>
      <c r="D370" s="12"/>
      <c r="E370" s="12"/>
      <c r="F370" s="12"/>
      <c r="G370" s="12"/>
      <c r="H370" s="12"/>
      <c r="I370" s="12"/>
      <c r="J370" s="12"/>
      <c r="K370" s="46"/>
      <c r="L370" s="46"/>
      <c r="M370" s="46"/>
      <c r="N370" s="46"/>
      <c r="O370" s="46"/>
      <c r="P370" s="46"/>
      <c r="Q370" s="46"/>
      <c r="R370" s="46"/>
      <c r="S370" s="12"/>
      <c r="T370" s="12"/>
      <c r="U370" s="30"/>
      <c r="V370" s="46"/>
      <c r="W370" s="46"/>
      <c r="AD370" s="46"/>
      <c r="AE370" s="46"/>
      <c r="AF370" s="46"/>
      <c r="AH370" s="46"/>
    </row>
    <row r="371" spans="1:3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46"/>
      <c r="L371" s="46"/>
      <c r="M371" s="46"/>
      <c r="N371" s="46"/>
      <c r="O371" s="46"/>
      <c r="P371" s="46"/>
      <c r="Q371" s="46"/>
      <c r="R371" s="46"/>
      <c r="S371" s="12"/>
      <c r="T371" s="12"/>
      <c r="U371" s="30"/>
      <c r="V371" s="46"/>
      <c r="W371" s="46"/>
      <c r="AD371" s="46"/>
      <c r="AE371" s="46"/>
      <c r="AF371" s="46"/>
      <c r="AH371" s="46"/>
    </row>
    <row r="372" spans="1:34">
      <c r="A372" s="136" t="s">
        <v>614</v>
      </c>
      <c r="B372" s="12">
        <v>44310981.520000003</v>
      </c>
      <c r="C372" s="12">
        <v>14054987.57</v>
      </c>
      <c r="D372" s="12"/>
      <c r="E372" s="12"/>
      <c r="F372" s="12"/>
      <c r="G372" s="12"/>
      <c r="H372" s="12"/>
      <c r="I372" s="12"/>
      <c r="J372" s="12"/>
      <c r="K372" s="46"/>
      <c r="L372" s="46"/>
      <c r="M372" s="46"/>
      <c r="N372" s="46"/>
      <c r="O372" s="46"/>
      <c r="P372" s="46"/>
      <c r="Q372" s="46"/>
      <c r="R372" s="46"/>
      <c r="S372" s="12"/>
      <c r="T372" s="12"/>
      <c r="U372" s="30"/>
      <c r="V372" s="46"/>
      <c r="W372" s="46"/>
      <c r="AD372" s="46"/>
      <c r="AE372" s="46"/>
      <c r="AF372" s="46"/>
      <c r="AH372" s="46"/>
    </row>
    <row r="373" spans="1:34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46"/>
      <c r="L373" s="46"/>
      <c r="M373" s="46"/>
      <c r="N373" s="46"/>
      <c r="O373" s="46"/>
      <c r="P373" s="46"/>
      <c r="Q373" s="46"/>
      <c r="R373" s="46"/>
      <c r="S373" s="12"/>
      <c r="T373" s="12"/>
      <c r="U373" s="30"/>
      <c r="V373" s="46"/>
      <c r="W373" s="46"/>
      <c r="AD373" s="46"/>
      <c r="AE373" s="46"/>
      <c r="AF373" s="46"/>
      <c r="AH373" s="46"/>
    </row>
    <row r="374" spans="1:34">
      <c r="A374" s="136" t="s">
        <v>30</v>
      </c>
      <c r="B374" s="12">
        <v>152405818.81</v>
      </c>
      <c r="C374" s="12">
        <v>24687495.809999999</v>
      </c>
      <c r="D374" s="12"/>
      <c r="E374" s="12"/>
      <c r="F374" s="12"/>
      <c r="G374" s="12"/>
      <c r="H374" s="12"/>
      <c r="I374" s="12"/>
      <c r="J374" s="12"/>
      <c r="K374" s="46"/>
      <c r="L374" s="46"/>
      <c r="M374" s="46"/>
      <c r="N374" s="46"/>
      <c r="O374" s="46"/>
      <c r="P374" s="46"/>
      <c r="Q374" s="46"/>
      <c r="R374" s="46"/>
      <c r="S374" s="12"/>
      <c r="T374" s="12"/>
      <c r="U374" s="30"/>
      <c r="V374" s="46"/>
      <c r="W374" s="46"/>
      <c r="AD374" s="46"/>
      <c r="AE374" s="46"/>
      <c r="AF374" s="46"/>
      <c r="AH374" s="46"/>
    </row>
    <row r="375" spans="1:34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46"/>
      <c r="L375" s="46"/>
      <c r="M375" s="46"/>
      <c r="N375" s="46"/>
      <c r="O375" s="46"/>
      <c r="P375" s="46"/>
      <c r="Q375" s="46"/>
      <c r="R375" s="46"/>
      <c r="S375" s="12"/>
      <c r="T375" s="12"/>
      <c r="U375" s="30"/>
      <c r="V375" s="46"/>
      <c r="W375" s="46"/>
      <c r="AD375" s="46"/>
      <c r="AE375" s="46"/>
      <c r="AF375" s="46"/>
      <c r="AH375" s="46"/>
    </row>
    <row r="376" spans="1:34">
      <c r="A376" s="136" t="s">
        <v>615</v>
      </c>
      <c r="B376" s="12">
        <v>93474275.870000005</v>
      </c>
      <c r="C376" s="12">
        <v>27054357.25</v>
      </c>
      <c r="D376" s="12"/>
      <c r="E376" s="12"/>
      <c r="F376" s="12"/>
      <c r="G376" s="12"/>
      <c r="H376" s="12"/>
      <c r="I376" s="12"/>
      <c r="J376" s="12"/>
      <c r="K376" s="46"/>
      <c r="L376" s="46"/>
      <c r="M376" s="46"/>
      <c r="N376" s="46"/>
      <c r="O376" s="46"/>
      <c r="P376" s="46"/>
      <c r="Q376" s="46"/>
      <c r="R376" s="46"/>
      <c r="S376" s="12"/>
      <c r="T376" s="12"/>
      <c r="U376" s="30"/>
      <c r="V376" s="46"/>
      <c r="W376" s="46"/>
      <c r="AD376" s="46"/>
      <c r="AE376" s="46"/>
      <c r="AF376" s="46"/>
      <c r="AH376" s="46"/>
    </row>
    <row r="377" spans="1:34">
      <c r="A377" s="12"/>
      <c r="B377" s="12"/>
      <c r="C377" s="12"/>
      <c r="D377" s="12"/>
      <c r="E377" s="15"/>
      <c r="F377" s="15"/>
      <c r="G377" s="15"/>
      <c r="H377" s="15"/>
      <c r="I377" s="15"/>
      <c r="J377" s="15"/>
      <c r="K377" s="46"/>
      <c r="L377" s="46"/>
      <c r="M377" s="46"/>
      <c r="N377" s="46"/>
      <c r="O377" s="46"/>
      <c r="P377" s="46"/>
      <c r="Q377" s="46"/>
      <c r="R377" s="46"/>
      <c r="S377" s="12"/>
      <c r="T377" s="12"/>
      <c r="U377" s="30"/>
      <c r="V377" s="46"/>
      <c r="W377" s="46"/>
      <c r="AD377" s="46"/>
      <c r="AE377" s="46"/>
      <c r="AF377" s="46"/>
      <c r="AH377" s="46"/>
    </row>
    <row r="378" spans="1:34">
      <c r="A378" s="136" t="s">
        <v>253</v>
      </c>
      <c r="B378" s="12">
        <v>43298955.240000002</v>
      </c>
      <c r="C378" s="12">
        <v>17915016.829999998</v>
      </c>
      <c r="D378" s="12"/>
      <c r="E378" s="12"/>
      <c r="F378" s="12"/>
      <c r="G378" s="12"/>
      <c r="H378" s="12"/>
      <c r="I378" s="12"/>
      <c r="J378" s="12"/>
      <c r="K378" s="46"/>
      <c r="L378" s="46"/>
      <c r="M378" s="46"/>
      <c r="N378" s="46"/>
      <c r="O378" s="46"/>
      <c r="P378" s="46"/>
      <c r="Q378" s="46"/>
      <c r="R378" s="46"/>
      <c r="S378" s="12"/>
      <c r="T378" s="12"/>
      <c r="U378" s="30"/>
      <c r="V378" s="46"/>
      <c r="W378" s="46"/>
      <c r="AD378" s="46"/>
      <c r="AE378" s="46"/>
      <c r="AF378" s="46"/>
      <c r="AH378" s="46"/>
    </row>
    <row r="379" spans="1:34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46"/>
      <c r="L379" s="46"/>
      <c r="M379" s="46"/>
      <c r="N379" s="46"/>
      <c r="O379" s="46"/>
      <c r="P379" s="46"/>
      <c r="Q379" s="46"/>
      <c r="R379" s="46"/>
      <c r="S379" s="12"/>
      <c r="T379" s="12"/>
      <c r="U379" s="30"/>
      <c r="V379" s="46"/>
      <c r="W379" s="46"/>
      <c r="AD379" s="46"/>
      <c r="AE379" s="46"/>
      <c r="AF379" s="46"/>
      <c r="AH379" s="46"/>
    </row>
    <row r="380" spans="1:34">
      <c r="A380" s="136" t="s">
        <v>31</v>
      </c>
      <c r="B380" s="12">
        <v>52955828.520000003</v>
      </c>
      <c r="C380" s="12">
        <v>51345271.520000003</v>
      </c>
      <c r="D380" s="12"/>
      <c r="E380" s="12"/>
      <c r="F380" s="12"/>
      <c r="G380" s="12"/>
      <c r="H380" s="12"/>
      <c r="I380" s="12"/>
      <c r="J380" s="12"/>
      <c r="K380" s="46"/>
      <c r="L380" s="46"/>
      <c r="M380" s="46"/>
      <c r="N380" s="46"/>
      <c r="O380" s="46"/>
      <c r="P380" s="46"/>
      <c r="Q380" s="46"/>
      <c r="R380" s="46"/>
      <c r="S380" s="12"/>
      <c r="T380" s="12"/>
      <c r="U380" s="30"/>
      <c r="V380" s="46"/>
      <c r="W380" s="46"/>
      <c r="AD380" s="46"/>
      <c r="AE380" s="46"/>
      <c r="AF380" s="46"/>
      <c r="AH380" s="46"/>
    </row>
    <row r="381" spans="1:3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46"/>
      <c r="L381" s="46"/>
      <c r="M381" s="46"/>
      <c r="N381" s="46"/>
      <c r="O381" s="46"/>
      <c r="P381" s="46"/>
      <c r="Q381" s="46"/>
      <c r="R381" s="46"/>
      <c r="S381" s="12"/>
      <c r="T381" s="12"/>
      <c r="U381" s="30"/>
      <c r="V381" s="46"/>
      <c r="W381" s="46"/>
      <c r="AD381" s="46"/>
      <c r="AE381" s="46"/>
      <c r="AF381" s="46"/>
      <c r="AH381" s="46"/>
    </row>
    <row r="382" spans="1:34">
      <c r="A382" s="136" t="s">
        <v>616</v>
      </c>
      <c r="B382" s="12">
        <v>34719460</v>
      </c>
      <c r="C382" s="12">
        <v>20311206</v>
      </c>
      <c r="D382" s="12"/>
      <c r="E382" s="12"/>
      <c r="F382" s="12"/>
      <c r="G382" s="12"/>
      <c r="H382" s="12"/>
      <c r="I382" s="12"/>
      <c r="J382" s="12"/>
      <c r="K382" s="46"/>
      <c r="L382" s="46"/>
      <c r="M382" s="46"/>
      <c r="N382" s="46"/>
      <c r="O382" s="46"/>
      <c r="P382" s="46"/>
      <c r="Q382" s="46"/>
      <c r="R382" s="46"/>
      <c r="S382" s="12"/>
      <c r="T382" s="12"/>
      <c r="U382" s="30"/>
      <c r="V382" s="46"/>
      <c r="W382" s="46"/>
      <c r="AD382" s="46"/>
      <c r="AE382" s="46"/>
      <c r="AF382" s="46"/>
      <c r="AH382" s="46"/>
    </row>
    <row r="383" spans="1:3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46"/>
      <c r="L383" s="46"/>
      <c r="M383" s="46"/>
      <c r="N383" s="46"/>
      <c r="O383" s="46"/>
      <c r="P383" s="46"/>
      <c r="Q383" s="46"/>
      <c r="R383" s="46"/>
      <c r="S383" s="12"/>
      <c r="T383" s="12"/>
      <c r="U383" s="30"/>
      <c r="V383" s="46"/>
      <c r="W383" s="46"/>
      <c r="AD383" s="46"/>
      <c r="AE383" s="46"/>
      <c r="AF383" s="46"/>
      <c r="AH383" s="46"/>
    </row>
    <row r="384" spans="1:34">
      <c r="A384" s="136" t="s">
        <v>32</v>
      </c>
      <c r="B384" s="12">
        <v>45464807.880000003</v>
      </c>
      <c r="C384" s="12">
        <v>25637477.879999999</v>
      </c>
      <c r="D384" s="12"/>
      <c r="E384" s="12"/>
      <c r="F384" s="12"/>
      <c r="G384" s="12"/>
      <c r="H384" s="12"/>
      <c r="I384" s="12"/>
      <c r="J384" s="12"/>
      <c r="K384" s="46"/>
      <c r="L384" s="46"/>
      <c r="M384" s="46"/>
      <c r="N384" s="46"/>
      <c r="O384" s="46"/>
      <c r="P384" s="46"/>
      <c r="Q384" s="46"/>
      <c r="R384" s="46"/>
      <c r="S384" s="12"/>
      <c r="T384" s="12"/>
      <c r="U384" s="30"/>
      <c r="V384" s="46"/>
      <c r="W384" s="46"/>
      <c r="AD384" s="46"/>
      <c r="AE384" s="46"/>
      <c r="AF384" s="46"/>
      <c r="AH384" s="46"/>
    </row>
    <row r="385" spans="1:34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46"/>
      <c r="L385" s="46"/>
      <c r="M385" s="46"/>
      <c r="N385" s="46"/>
      <c r="O385" s="46"/>
      <c r="P385" s="46"/>
      <c r="Q385" s="46"/>
      <c r="R385" s="46"/>
      <c r="S385" s="12"/>
      <c r="T385" s="12"/>
      <c r="U385" s="30"/>
      <c r="V385" s="46"/>
      <c r="W385" s="46"/>
      <c r="AD385" s="46"/>
      <c r="AE385" s="46"/>
      <c r="AF385" s="46"/>
      <c r="AH385" s="46"/>
    </row>
    <row r="386" spans="1:34">
      <c r="A386" s="136" t="s">
        <v>617</v>
      </c>
      <c r="B386" s="12">
        <v>158993690.34999999</v>
      </c>
      <c r="C386" s="12">
        <v>285005573.32999998</v>
      </c>
      <c r="D386" s="12"/>
      <c r="E386" s="12"/>
      <c r="F386" s="12"/>
      <c r="G386" s="12"/>
      <c r="H386" s="12"/>
      <c r="I386" s="12"/>
      <c r="J386" s="12"/>
      <c r="K386" s="46"/>
      <c r="L386" s="46"/>
      <c r="M386" s="46"/>
      <c r="N386" s="46"/>
      <c r="O386" s="46"/>
      <c r="P386" s="46"/>
      <c r="Q386" s="46"/>
      <c r="R386" s="46"/>
      <c r="S386" s="12"/>
      <c r="T386" s="12"/>
      <c r="U386" s="30"/>
      <c r="V386" s="46"/>
      <c r="W386" s="46"/>
      <c r="AD386" s="46"/>
      <c r="AE386" s="46"/>
      <c r="AF386" s="46"/>
      <c r="AH386" s="46"/>
    </row>
    <row r="387" spans="1:34">
      <c r="A387" s="136"/>
      <c r="B387" s="12"/>
      <c r="C387" s="12"/>
      <c r="D387" s="12"/>
      <c r="E387" s="12"/>
      <c r="F387" s="12"/>
      <c r="G387" s="12"/>
      <c r="H387" s="12"/>
      <c r="I387" s="12"/>
      <c r="J387" s="12"/>
      <c r="K387" s="46"/>
      <c r="L387" s="46"/>
      <c r="M387" s="46"/>
      <c r="N387" s="46"/>
      <c r="O387" s="46"/>
      <c r="P387" s="46"/>
      <c r="Q387" s="46"/>
      <c r="R387" s="46"/>
      <c r="S387" s="12"/>
      <c r="T387" s="12"/>
      <c r="U387" s="30"/>
      <c r="V387" s="46"/>
      <c r="W387" s="46"/>
      <c r="AD387" s="46"/>
      <c r="AE387" s="46"/>
      <c r="AF387" s="46"/>
      <c r="AH387" s="46"/>
    </row>
    <row r="388" spans="1:34">
      <c r="A388" s="136" t="s">
        <v>618</v>
      </c>
      <c r="B388" s="12">
        <v>48609889.619999997</v>
      </c>
      <c r="C388" s="12">
        <v>37589167.979999997</v>
      </c>
      <c r="D388" s="12"/>
      <c r="E388" s="12"/>
      <c r="F388" s="12"/>
      <c r="G388" s="12"/>
      <c r="H388" s="12"/>
      <c r="I388" s="12"/>
      <c r="J388" s="12"/>
      <c r="K388" s="46"/>
      <c r="L388" s="46"/>
      <c r="M388" s="46"/>
      <c r="N388" s="46"/>
      <c r="O388" s="46"/>
      <c r="P388" s="46"/>
      <c r="Q388" s="46"/>
      <c r="R388" s="46"/>
      <c r="S388" s="12"/>
      <c r="T388" s="12"/>
      <c r="U388" s="30"/>
      <c r="V388" s="46"/>
      <c r="W388" s="46"/>
      <c r="AD388" s="46"/>
      <c r="AE388" s="46"/>
      <c r="AF388" s="46"/>
      <c r="AH388" s="46"/>
    </row>
    <row r="389" spans="1:34">
      <c r="A389" s="136"/>
      <c r="B389" s="12"/>
      <c r="C389" s="12"/>
      <c r="D389" s="12"/>
      <c r="E389" s="12"/>
      <c r="F389" s="12"/>
      <c r="G389" s="12"/>
      <c r="H389" s="12"/>
      <c r="I389" s="12"/>
      <c r="J389" s="12"/>
      <c r="K389" s="46"/>
      <c r="L389" s="46"/>
      <c r="M389" s="46"/>
      <c r="N389" s="46"/>
      <c r="O389" s="46"/>
      <c r="P389" s="46"/>
      <c r="Q389" s="46"/>
      <c r="R389" s="46"/>
      <c r="S389" s="12"/>
      <c r="T389" s="12"/>
      <c r="U389" s="30"/>
      <c r="V389" s="46"/>
      <c r="W389" s="46"/>
      <c r="AD389" s="46"/>
      <c r="AE389" s="46"/>
      <c r="AF389" s="46"/>
      <c r="AH389" s="46"/>
    </row>
    <row r="390" spans="1:34">
      <c r="A390" s="136" t="s">
        <v>359</v>
      </c>
      <c r="B390" s="12">
        <v>13723105.539999999</v>
      </c>
      <c r="C390" s="12">
        <v>6979727.54</v>
      </c>
      <c r="D390" s="12"/>
      <c r="E390" s="12"/>
      <c r="F390" s="12"/>
      <c r="G390" s="12"/>
      <c r="H390" s="12"/>
      <c r="I390" s="12"/>
      <c r="J390" s="12"/>
      <c r="K390" s="46"/>
      <c r="L390" s="46"/>
      <c r="M390" s="46"/>
      <c r="N390" s="46"/>
      <c r="O390" s="46"/>
      <c r="P390" s="46"/>
      <c r="Q390" s="46"/>
      <c r="R390" s="46"/>
      <c r="S390" s="12"/>
      <c r="T390" s="12"/>
      <c r="U390" s="30"/>
      <c r="V390" s="46"/>
      <c r="W390" s="46"/>
      <c r="AD390" s="46"/>
      <c r="AE390" s="46"/>
      <c r="AF390" s="46"/>
      <c r="AH390" s="46"/>
    </row>
    <row r="391" spans="1:34">
      <c r="A391" s="136"/>
      <c r="B391" s="12"/>
      <c r="C391" s="12"/>
      <c r="D391" s="12"/>
      <c r="E391" s="12"/>
      <c r="F391" s="12"/>
      <c r="G391" s="12"/>
      <c r="H391" s="12"/>
      <c r="I391" s="12"/>
      <c r="J391" s="12"/>
      <c r="K391" s="46"/>
      <c r="L391" s="46"/>
      <c r="M391" s="46"/>
      <c r="N391" s="46"/>
      <c r="O391" s="46"/>
      <c r="P391" s="46"/>
      <c r="Q391" s="46"/>
      <c r="R391" s="46"/>
      <c r="S391" s="12"/>
      <c r="T391" s="12"/>
      <c r="U391" s="30"/>
      <c r="V391" s="46"/>
      <c r="W391" s="46"/>
      <c r="AD391" s="46"/>
      <c r="AE391" s="46"/>
      <c r="AF391" s="46"/>
      <c r="AH391" s="46"/>
    </row>
    <row r="392" spans="1:34">
      <c r="A392" s="136" t="s">
        <v>33</v>
      </c>
      <c r="B392" s="12">
        <v>5369735.8700000001</v>
      </c>
      <c r="C392" s="12">
        <v>26236186.809999999</v>
      </c>
      <c r="D392" s="12"/>
      <c r="E392" s="12"/>
      <c r="F392" s="12"/>
      <c r="G392" s="12"/>
      <c r="H392" s="12"/>
      <c r="I392" s="12"/>
      <c r="J392" s="12"/>
      <c r="K392" s="46"/>
      <c r="L392" s="46"/>
      <c r="M392" s="46"/>
      <c r="N392" s="46"/>
      <c r="O392" s="46"/>
      <c r="P392" s="46"/>
      <c r="Q392" s="46"/>
      <c r="R392" s="46"/>
      <c r="S392" s="12"/>
      <c r="T392" s="12"/>
      <c r="U392" s="30"/>
      <c r="V392" s="46"/>
      <c r="W392" s="46"/>
      <c r="AD392" s="46"/>
      <c r="AE392" s="46"/>
      <c r="AF392" s="46"/>
      <c r="AH392" s="46"/>
    </row>
    <row r="393" spans="1:34">
      <c r="A393" s="136"/>
      <c r="B393" s="12"/>
      <c r="C393" s="12"/>
      <c r="D393" s="12"/>
      <c r="E393" s="12"/>
      <c r="F393" s="12"/>
      <c r="G393" s="12"/>
      <c r="H393" s="12"/>
      <c r="I393" s="12"/>
      <c r="J393" s="12"/>
      <c r="K393" s="46"/>
      <c r="L393" s="46"/>
      <c r="M393" s="46"/>
      <c r="N393" s="46"/>
      <c r="O393" s="46"/>
      <c r="P393" s="46"/>
      <c r="Q393" s="46"/>
      <c r="R393" s="46"/>
      <c r="S393" s="12"/>
      <c r="T393" s="12"/>
      <c r="U393" s="30"/>
      <c r="V393" s="46"/>
      <c r="W393" s="46"/>
      <c r="AD393" s="46"/>
      <c r="AE393" s="46"/>
      <c r="AF393" s="46"/>
      <c r="AH393" s="46"/>
    </row>
    <row r="394" spans="1:34">
      <c r="A394" s="136" t="s">
        <v>0</v>
      </c>
      <c r="B394" s="12">
        <v>2009657889.6900001</v>
      </c>
      <c r="C394" s="12">
        <v>1355377703.9300001</v>
      </c>
      <c r="D394" s="12"/>
      <c r="E394" s="12"/>
      <c r="F394" s="12"/>
      <c r="G394" s="12"/>
      <c r="H394" s="12"/>
      <c r="I394" s="12"/>
      <c r="J394" s="12"/>
      <c r="K394" s="46"/>
      <c r="L394" s="46"/>
      <c r="M394" s="46"/>
      <c r="N394" s="46"/>
      <c r="O394" s="46"/>
      <c r="P394" s="46"/>
      <c r="Q394" s="46"/>
      <c r="R394" s="46"/>
      <c r="S394" s="12"/>
      <c r="T394" s="12"/>
      <c r="U394" s="30"/>
      <c r="V394" s="46"/>
      <c r="W394" s="46"/>
      <c r="AD394" s="46"/>
      <c r="AE394" s="46"/>
      <c r="AF394" s="46"/>
      <c r="AH394" s="46"/>
    </row>
    <row r="395" spans="1:34">
      <c r="A395" s="338"/>
      <c r="B395" s="12"/>
      <c r="C395" s="12"/>
      <c r="D395" s="340"/>
      <c r="E395" s="12"/>
      <c r="F395" s="12"/>
      <c r="G395" s="12"/>
      <c r="H395" s="12"/>
      <c r="I395" s="12"/>
      <c r="J395" s="12"/>
      <c r="K395" s="46"/>
      <c r="L395" s="46"/>
      <c r="M395" s="46"/>
      <c r="N395" s="46"/>
      <c r="O395" s="46"/>
      <c r="P395" s="46"/>
      <c r="Q395" s="46"/>
      <c r="R395" s="46"/>
      <c r="S395" s="12"/>
      <c r="T395" s="12"/>
      <c r="U395" s="30"/>
      <c r="V395" s="46"/>
      <c r="W395" s="46"/>
      <c r="AD395" s="46"/>
      <c r="AE395" s="46"/>
      <c r="AF395" s="46"/>
      <c r="AH395" s="46"/>
    </row>
    <row r="396" spans="1:34">
      <c r="A396" s="343" t="s">
        <v>619</v>
      </c>
      <c r="B396" s="12">
        <v>1744479.65</v>
      </c>
      <c r="C396" s="12">
        <v>1632250.65</v>
      </c>
      <c r="D396" s="340"/>
      <c r="E396" s="12"/>
      <c r="F396" s="12"/>
      <c r="G396" s="12"/>
      <c r="H396" s="12"/>
      <c r="I396" s="12"/>
      <c r="J396" s="12"/>
      <c r="K396" s="46"/>
      <c r="L396" s="46"/>
      <c r="M396" s="46"/>
      <c r="N396" s="46"/>
      <c r="O396" s="46"/>
      <c r="P396" s="46"/>
      <c r="Q396" s="46"/>
      <c r="R396" s="46"/>
      <c r="S396" s="12"/>
      <c r="T396" s="12"/>
      <c r="U396" s="30"/>
      <c r="V396" s="46"/>
      <c r="W396" s="46"/>
      <c r="AD396" s="46"/>
      <c r="AE396" s="46"/>
      <c r="AF396" s="46"/>
      <c r="AH396" s="46"/>
    </row>
    <row r="397" spans="1:34">
      <c r="A397" s="338"/>
      <c r="B397" s="12"/>
      <c r="C397" s="12"/>
      <c r="D397" s="340"/>
      <c r="E397" s="12"/>
      <c r="F397" s="12"/>
      <c r="G397" s="12"/>
      <c r="H397" s="12"/>
      <c r="I397" s="12"/>
      <c r="J397" s="12"/>
      <c r="K397" s="46"/>
      <c r="L397" s="46"/>
      <c r="M397" s="46"/>
      <c r="N397" s="46"/>
      <c r="O397" s="46"/>
      <c r="P397" s="46"/>
      <c r="Q397" s="46"/>
      <c r="R397" s="46"/>
      <c r="S397" s="12"/>
      <c r="T397" s="12"/>
      <c r="U397" s="30"/>
      <c r="V397" s="46"/>
      <c r="W397" s="46"/>
      <c r="AD397" s="46"/>
      <c r="AE397" s="46"/>
      <c r="AF397" s="46"/>
      <c r="AH397" s="46"/>
    </row>
    <row r="398" spans="1:34">
      <c r="A398" s="339" t="s">
        <v>439</v>
      </c>
      <c r="B398" s="13">
        <f>SUM(B367:B397)</f>
        <v>2841279416.9900002</v>
      </c>
      <c r="C398" s="13">
        <f>SUM(C367:C397)</f>
        <v>1999248433.96</v>
      </c>
      <c r="D398" s="341"/>
      <c r="E398" s="12"/>
      <c r="F398" s="12"/>
      <c r="G398" s="12"/>
      <c r="H398" s="12"/>
      <c r="I398" s="12"/>
      <c r="J398" s="12"/>
      <c r="K398" s="46"/>
      <c r="L398" s="46"/>
      <c r="M398" s="46"/>
      <c r="N398" s="46"/>
      <c r="O398" s="46"/>
      <c r="P398" s="46"/>
      <c r="Q398" s="46"/>
      <c r="R398" s="46"/>
      <c r="S398" s="13"/>
      <c r="T398" s="13"/>
      <c r="U398" s="30"/>
      <c r="V398" s="46"/>
      <c r="W398" s="46"/>
      <c r="AD398" s="46"/>
      <c r="AE398" s="46"/>
      <c r="AF398" s="46"/>
      <c r="AH398" s="46"/>
    </row>
    <row r="399" spans="1:34">
      <c r="A399" s="339"/>
      <c r="B399" s="13"/>
      <c r="C399" s="13"/>
      <c r="D399" s="342"/>
      <c r="E399" s="12"/>
      <c r="F399" s="12"/>
      <c r="G399" s="12"/>
      <c r="H399" s="12"/>
      <c r="I399" s="12"/>
      <c r="J399" s="12"/>
      <c r="K399" s="46"/>
      <c r="L399" s="46"/>
      <c r="M399" s="46"/>
      <c r="N399" s="46"/>
      <c r="O399" s="46"/>
      <c r="P399" s="46"/>
      <c r="Q399" s="46"/>
      <c r="R399" s="46"/>
      <c r="S399" s="13"/>
      <c r="T399" s="13"/>
      <c r="U399" s="30"/>
      <c r="V399" s="46"/>
      <c r="W399" s="46"/>
      <c r="AD399" s="46"/>
      <c r="AE399" s="46"/>
      <c r="AF399" s="46"/>
      <c r="AH399" s="46"/>
    </row>
    <row r="400" spans="1:34">
      <c r="A400" s="338" t="s">
        <v>992</v>
      </c>
      <c r="B400" s="12">
        <v>85675730</v>
      </c>
      <c r="C400" s="12">
        <v>28160429</v>
      </c>
      <c r="D400" s="342"/>
      <c r="E400" s="12"/>
      <c r="F400" s="12"/>
      <c r="G400" s="12"/>
      <c r="H400" s="12"/>
      <c r="I400" s="12"/>
      <c r="J400" s="12"/>
      <c r="K400" s="46"/>
      <c r="L400" s="46"/>
      <c r="M400" s="46"/>
      <c r="N400" s="46"/>
      <c r="O400" s="46"/>
      <c r="P400" s="46"/>
      <c r="Q400" s="46"/>
      <c r="R400" s="46"/>
      <c r="S400" s="13"/>
      <c r="T400" s="13"/>
      <c r="U400" s="30"/>
      <c r="V400" s="46"/>
      <c r="W400" s="46"/>
      <c r="AD400" s="46"/>
      <c r="AE400" s="46"/>
      <c r="AF400" s="46"/>
      <c r="AH400" s="46"/>
    </row>
    <row r="401" spans="1:34">
      <c r="A401" s="339"/>
      <c r="B401" s="13"/>
      <c r="C401" s="13"/>
      <c r="D401" s="342"/>
      <c r="E401" s="12"/>
      <c r="F401" s="12"/>
      <c r="G401" s="12"/>
      <c r="H401" s="12"/>
      <c r="I401" s="12"/>
      <c r="J401" s="12"/>
      <c r="K401" s="46"/>
      <c r="L401" s="46"/>
      <c r="M401" s="46"/>
      <c r="N401" s="46"/>
      <c r="O401" s="46"/>
      <c r="P401" s="46"/>
      <c r="Q401" s="46"/>
      <c r="R401" s="46"/>
      <c r="S401" s="13"/>
      <c r="T401" s="13"/>
      <c r="U401" s="30"/>
      <c r="V401" s="46"/>
      <c r="W401" s="46"/>
      <c r="AD401" s="46"/>
      <c r="AE401" s="46"/>
      <c r="AF401" s="46"/>
      <c r="AH401" s="46"/>
    </row>
    <row r="402" spans="1:34">
      <c r="A402" s="339" t="s">
        <v>611</v>
      </c>
      <c r="B402" s="13">
        <f>+B398-B400</f>
        <v>2755603686.9900002</v>
      </c>
      <c r="C402" s="13">
        <f>+C398-C400</f>
        <v>1971088004.96</v>
      </c>
      <c r="D402" s="342"/>
      <c r="E402" s="12"/>
      <c r="F402" s="12"/>
      <c r="G402" s="12"/>
      <c r="H402" s="12"/>
      <c r="I402" s="12"/>
      <c r="J402" s="12"/>
      <c r="K402" s="46"/>
      <c r="L402" s="46"/>
      <c r="M402" s="46"/>
      <c r="N402" s="46"/>
      <c r="O402" s="46"/>
      <c r="P402" s="46"/>
      <c r="Q402" s="46"/>
      <c r="R402" s="46"/>
      <c r="S402" s="13"/>
      <c r="T402" s="13"/>
      <c r="U402" s="30"/>
      <c r="V402" s="46"/>
      <c r="W402" s="46"/>
      <c r="AD402" s="46"/>
      <c r="AE402" s="46"/>
      <c r="AF402" s="46"/>
      <c r="AH402" s="46"/>
    </row>
    <row r="403" spans="1:34">
      <c r="A403" s="339"/>
      <c r="B403" s="13"/>
      <c r="C403" s="13"/>
      <c r="D403" s="342"/>
      <c r="E403" s="12"/>
      <c r="F403" s="12"/>
      <c r="G403" s="12"/>
      <c r="H403" s="12"/>
      <c r="I403" s="12"/>
      <c r="J403" s="12"/>
      <c r="K403" s="46"/>
      <c r="L403" s="46"/>
      <c r="M403" s="46"/>
      <c r="N403" s="46"/>
      <c r="O403" s="46"/>
      <c r="P403" s="46"/>
      <c r="Q403" s="46"/>
      <c r="R403" s="46"/>
      <c r="S403" s="13"/>
      <c r="T403" s="13"/>
      <c r="U403" s="30"/>
      <c r="V403" s="46"/>
      <c r="W403" s="46"/>
      <c r="AD403" s="46"/>
      <c r="AE403" s="46"/>
      <c r="AF403" s="46"/>
      <c r="AH403" s="46"/>
    </row>
    <row r="404" spans="1:34" ht="15.75">
      <c r="A404" s="339" t="s">
        <v>831</v>
      </c>
      <c r="B404" s="13"/>
      <c r="C404" s="78" t="s">
        <v>929</v>
      </c>
      <c r="D404" s="342"/>
      <c r="E404" s="12"/>
      <c r="F404" s="12"/>
      <c r="G404" s="12"/>
      <c r="H404" s="12"/>
      <c r="I404" s="12"/>
      <c r="J404" s="12"/>
      <c r="K404" s="46"/>
      <c r="L404" s="46"/>
      <c r="M404" s="46"/>
      <c r="N404" s="46"/>
      <c r="O404" s="46"/>
      <c r="P404" s="46"/>
      <c r="Q404" s="46"/>
      <c r="R404" s="46"/>
      <c r="S404" s="13"/>
      <c r="T404" s="13"/>
      <c r="U404" s="30"/>
      <c r="V404" s="46"/>
      <c r="W404" s="46"/>
      <c r="AD404" s="46"/>
      <c r="AE404" s="46"/>
      <c r="AF404" s="46"/>
      <c r="AH404" s="46"/>
    </row>
    <row r="405" spans="1:34" ht="15.75">
      <c r="A405" s="344"/>
      <c r="B405" s="30"/>
      <c r="C405" s="78" t="s">
        <v>544</v>
      </c>
      <c r="D405" s="345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46"/>
      <c r="W405" s="46"/>
      <c r="AD405" s="46"/>
      <c r="AE405" s="46"/>
      <c r="AF405" s="46"/>
      <c r="AH405" s="46"/>
    </row>
    <row r="406" spans="1:34">
      <c r="A406" s="30" t="s">
        <v>284</v>
      </c>
      <c r="B406" s="33">
        <v>11371</v>
      </c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115" t="s">
        <v>544</v>
      </c>
      <c r="S406" s="30"/>
      <c r="T406" s="30"/>
      <c r="U406" s="30"/>
      <c r="V406" s="46"/>
      <c r="W406" s="46"/>
      <c r="AD406" s="46"/>
      <c r="AE406" s="46"/>
      <c r="AF406" s="46"/>
      <c r="AH406" s="46"/>
    </row>
    <row r="407" spans="1:34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3" t="s">
        <v>544</v>
      </c>
      <c r="S407" s="30"/>
      <c r="T407" s="30"/>
      <c r="U407" s="30"/>
      <c r="V407" s="46"/>
      <c r="W407" s="46"/>
      <c r="AD407" s="46"/>
      <c r="AE407" s="46"/>
      <c r="AF407" s="46"/>
      <c r="AH407" s="46"/>
    </row>
    <row r="408" spans="1:34" ht="16.5" thickBot="1">
      <c r="A408" s="30"/>
      <c r="B408" s="186">
        <v>11371</v>
      </c>
      <c r="C408" s="30"/>
      <c r="D408" s="30"/>
      <c r="E408" s="30"/>
      <c r="F408" s="30"/>
      <c r="G408" s="30"/>
      <c r="H408" s="30"/>
      <c r="I408" s="30"/>
      <c r="J408" s="30"/>
      <c r="K408" s="45" t="s">
        <v>293</v>
      </c>
      <c r="L408" s="45"/>
      <c r="M408" s="45"/>
      <c r="N408" s="45"/>
      <c r="O408" s="45"/>
      <c r="P408" s="45"/>
      <c r="Q408" s="45"/>
      <c r="R408" s="30"/>
      <c r="S408" s="30"/>
      <c r="T408" s="30"/>
      <c r="U408" s="46"/>
      <c r="V408" s="46"/>
      <c r="W408" s="46"/>
      <c r="AD408" s="46"/>
      <c r="AE408" s="46"/>
      <c r="AF408" s="46"/>
      <c r="AH408" s="46"/>
    </row>
    <row r="409" spans="1:34" ht="16.5" thickTop="1">
      <c r="A409" s="30"/>
      <c r="B409" s="302"/>
      <c r="C409" s="30"/>
      <c r="D409" s="30"/>
      <c r="E409" s="30"/>
      <c r="F409" s="30"/>
      <c r="G409" s="30"/>
      <c r="H409" s="30"/>
      <c r="I409" s="30"/>
      <c r="J409" s="30"/>
      <c r="K409" s="45"/>
      <c r="L409" s="45"/>
      <c r="M409" s="45"/>
      <c r="N409" s="45"/>
      <c r="O409" s="45"/>
      <c r="P409" s="45"/>
      <c r="Q409" s="45"/>
      <c r="R409" s="30"/>
      <c r="S409" s="30"/>
      <c r="T409" s="30"/>
      <c r="U409" s="46"/>
      <c r="V409" s="46"/>
      <c r="W409" s="46"/>
      <c r="AD409" s="46"/>
      <c r="AE409" s="46"/>
      <c r="AF409" s="46"/>
      <c r="AH409" s="46"/>
    </row>
    <row r="410" spans="1:34">
      <c r="A410" s="30"/>
      <c r="B410" s="32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46"/>
      <c r="W410" s="46"/>
      <c r="AD410" s="46"/>
      <c r="AE410" s="46"/>
      <c r="AF410" s="46"/>
      <c r="AH410" s="46"/>
    </row>
    <row r="411" spans="1:34">
      <c r="B411" s="46"/>
      <c r="C411" s="46"/>
      <c r="D411" s="46"/>
      <c r="E411" s="46"/>
      <c r="F411" s="46"/>
      <c r="H411" s="30"/>
      <c r="I411" s="30"/>
      <c r="J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46"/>
      <c r="W411" s="46"/>
      <c r="AD411" s="46"/>
      <c r="AE411" s="46"/>
      <c r="AF411" s="46"/>
      <c r="AH411" s="46"/>
    </row>
    <row r="412" spans="1:34">
      <c r="B412" s="46"/>
      <c r="C412" s="46"/>
      <c r="D412" s="46"/>
      <c r="E412" s="46"/>
      <c r="F412" s="46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115" t="s">
        <v>544</v>
      </c>
      <c r="V412" s="46"/>
      <c r="W412" s="46"/>
      <c r="AD412" s="46"/>
      <c r="AE412" s="46"/>
      <c r="AF412" s="46"/>
      <c r="AH412" s="46"/>
    </row>
    <row r="413" spans="1:34">
      <c r="B413" s="46"/>
      <c r="C413" s="46"/>
      <c r="D413" s="46"/>
      <c r="E413" s="46"/>
      <c r="F413" s="46"/>
      <c r="L413" s="21"/>
      <c r="M413" s="21"/>
      <c r="N413" s="21"/>
      <c r="O413" s="21"/>
      <c r="P413" s="21"/>
      <c r="Q413" s="21"/>
      <c r="R413" s="46"/>
      <c r="S413" s="46"/>
      <c r="T413" s="46"/>
      <c r="U413" s="46"/>
      <c r="V413" s="46"/>
      <c r="W413" s="46"/>
      <c r="AD413" s="46"/>
      <c r="AE413" s="46"/>
      <c r="AF413" s="46"/>
      <c r="AH413" s="46"/>
    </row>
    <row r="414" spans="1:34">
      <c r="D414" s="148"/>
      <c r="E414" s="24"/>
      <c r="F414" s="24"/>
      <c r="G414" s="24"/>
      <c r="H414" s="46"/>
      <c r="I414" s="22"/>
      <c r="J414" s="22"/>
      <c r="K414" s="30"/>
      <c r="L414" s="30"/>
      <c r="M414" s="30"/>
      <c r="N414" s="30"/>
      <c r="O414" s="30"/>
      <c r="P414" s="30"/>
      <c r="Q414" s="30"/>
      <c r="R414" s="46"/>
      <c r="S414" s="46"/>
      <c r="T414" s="46"/>
      <c r="U414" s="46"/>
      <c r="V414" s="143"/>
      <c r="W414" s="143"/>
      <c r="Y414" s="143"/>
      <c r="Z414" s="143"/>
      <c r="AD414" s="46"/>
      <c r="AE414" s="46"/>
      <c r="AF414" s="46"/>
      <c r="AH414" s="46"/>
    </row>
    <row r="415" spans="1:34">
      <c r="A415" s="24"/>
      <c r="B415" s="46"/>
      <c r="C415" s="46"/>
      <c r="D415" s="46"/>
      <c r="E415" s="148"/>
      <c r="F415" s="148"/>
      <c r="G415" s="148"/>
      <c r="H415" s="46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143"/>
      <c r="W415" s="143"/>
      <c r="Y415" s="143"/>
      <c r="Z415" s="143"/>
      <c r="AD415" s="46"/>
      <c r="AE415" s="46"/>
      <c r="AF415" s="46"/>
      <c r="AH415" s="46"/>
    </row>
    <row r="416" spans="1:34">
      <c r="A416" s="22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143"/>
      <c r="W416" s="143"/>
      <c r="Y416" s="143"/>
      <c r="Z416" s="143"/>
      <c r="AD416" s="46"/>
      <c r="AE416" s="46"/>
      <c r="AF416" s="46"/>
      <c r="AH416" s="46"/>
    </row>
    <row r="417" spans="1:34">
      <c r="A417" s="22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143"/>
      <c r="W417" s="143"/>
      <c r="Y417" s="143"/>
      <c r="Z417" s="143"/>
      <c r="AD417" s="46"/>
      <c r="AE417" s="46"/>
      <c r="AF417" s="46"/>
      <c r="AH417" s="46"/>
    </row>
    <row r="418" spans="1:34" ht="15.75">
      <c r="A418" s="60"/>
      <c r="B418" s="13"/>
      <c r="C418" s="36" t="s">
        <v>930</v>
      </c>
      <c r="D418" s="3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143"/>
      <c r="W418" s="143"/>
      <c r="Y418" s="143"/>
      <c r="Z418" s="143"/>
      <c r="AD418" s="46"/>
      <c r="AE418" s="46"/>
      <c r="AF418" s="46"/>
      <c r="AH418" s="46"/>
    </row>
    <row r="419" spans="1:34">
      <c r="A419" s="66" t="s">
        <v>541</v>
      </c>
      <c r="B419" s="12"/>
      <c r="C419" s="12"/>
      <c r="D419" s="12"/>
      <c r="E419" s="134"/>
      <c r="F419" s="134"/>
      <c r="G419" s="13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143"/>
      <c r="W419" s="143"/>
      <c r="Y419" s="143"/>
      <c r="Z419" s="143"/>
      <c r="AD419" s="46"/>
      <c r="AE419" s="46"/>
      <c r="AF419" s="46"/>
      <c r="AH419" s="46"/>
    </row>
    <row r="420" spans="1:34">
      <c r="A420" s="16"/>
      <c r="B420" s="74" t="s">
        <v>542</v>
      </c>
      <c r="C420" s="74" t="s">
        <v>543</v>
      </c>
      <c r="D420" s="74"/>
      <c r="E420" s="46"/>
      <c r="F420" s="46"/>
      <c r="G420" s="46"/>
      <c r="H420" s="46"/>
      <c r="I420" s="46"/>
      <c r="J420" s="46"/>
      <c r="K420" s="145"/>
      <c r="L420" s="145"/>
      <c r="M420" s="145"/>
      <c r="N420" s="145"/>
      <c r="O420" s="145"/>
      <c r="P420" s="145"/>
      <c r="Q420" s="145"/>
      <c r="R420" s="46"/>
      <c r="S420" s="46"/>
      <c r="T420" s="46"/>
      <c r="U420" s="46"/>
      <c r="V420" s="143"/>
      <c r="W420" s="143"/>
      <c r="Y420" s="143"/>
      <c r="Z420" s="143"/>
      <c r="AD420" s="46"/>
      <c r="AE420" s="46"/>
      <c r="AF420" s="46"/>
      <c r="AH420" s="46"/>
    </row>
    <row r="421" spans="1:34">
      <c r="A421" s="16" t="s">
        <v>536</v>
      </c>
      <c r="B421" s="74" t="s">
        <v>83</v>
      </c>
      <c r="C421" s="74" t="s">
        <v>537</v>
      </c>
      <c r="D421" s="74"/>
      <c r="E421" s="145"/>
      <c r="F421" s="145"/>
      <c r="G421" s="145"/>
      <c r="H421" s="46"/>
      <c r="I421" s="46"/>
      <c r="J421" s="46"/>
      <c r="K421" s="145"/>
      <c r="L421" s="145"/>
      <c r="M421" s="145"/>
      <c r="N421" s="145"/>
      <c r="O421" s="145"/>
      <c r="P421" s="145"/>
      <c r="Q421" s="145"/>
      <c r="R421" s="46"/>
      <c r="S421" s="46"/>
      <c r="T421" s="46"/>
      <c r="U421" s="46"/>
      <c r="V421" s="143"/>
      <c r="W421" s="143"/>
      <c r="Y421" s="143"/>
      <c r="Z421" s="143"/>
      <c r="AD421" s="46"/>
      <c r="AE421" s="46"/>
      <c r="AF421" s="46"/>
      <c r="AH421" s="46"/>
    </row>
    <row r="422" spans="1:34">
      <c r="A422" s="12"/>
      <c r="B422" s="146"/>
      <c r="C422" s="146"/>
      <c r="D422" s="1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143"/>
      <c r="W422" s="143"/>
      <c r="Y422" s="143"/>
      <c r="Z422" s="143"/>
      <c r="AD422" s="46"/>
      <c r="AE422" s="46"/>
      <c r="AF422" s="46"/>
      <c r="AH422" s="46"/>
    </row>
    <row r="423" spans="1:34">
      <c r="A423" s="66" t="s">
        <v>48</v>
      </c>
      <c r="B423" s="24"/>
      <c r="C423" s="24"/>
      <c r="D423" s="24"/>
      <c r="E423" s="30"/>
      <c r="F423" s="30"/>
      <c r="G423" s="30"/>
      <c r="H423" s="46"/>
      <c r="I423" s="46"/>
      <c r="J423" s="46"/>
      <c r="K423" s="30"/>
      <c r="L423" s="30"/>
      <c r="M423" s="30"/>
      <c r="N423" s="30"/>
      <c r="O423" s="30"/>
      <c r="P423" s="30"/>
      <c r="Q423" s="30"/>
      <c r="R423" s="46"/>
      <c r="S423" s="46"/>
      <c r="T423" s="46"/>
      <c r="U423" s="46"/>
      <c r="V423" s="143"/>
      <c r="W423" s="143"/>
      <c r="Y423" s="143"/>
      <c r="Z423" s="143"/>
      <c r="AD423" s="46"/>
      <c r="AE423" s="46"/>
      <c r="AF423" s="46"/>
      <c r="AH423" s="46"/>
    </row>
    <row r="424" spans="1:34">
      <c r="A424" s="24"/>
      <c r="B424" s="24"/>
      <c r="C424" s="24"/>
      <c r="D424" s="24"/>
      <c r="E424" s="30"/>
      <c r="F424" s="30"/>
      <c r="G424" s="30"/>
      <c r="H424" s="46"/>
      <c r="I424" s="46"/>
      <c r="J424" s="46"/>
      <c r="K424" s="30"/>
      <c r="L424" s="30"/>
      <c r="M424" s="30"/>
      <c r="N424" s="30"/>
      <c r="O424" s="30"/>
      <c r="P424" s="30"/>
      <c r="Q424" s="30"/>
      <c r="R424" s="46"/>
      <c r="S424" s="46"/>
      <c r="T424" s="46"/>
      <c r="U424" s="46"/>
      <c r="V424" s="143"/>
      <c r="W424" s="143"/>
      <c r="Y424" s="143"/>
      <c r="Z424" s="143"/>
      <c r="AD424" s="46"/>
      <c r="AE424" s="46"/>
      <c r="AF424" s="46"/>
      <c r="AH424" s="46"/>
    </row>
    <row r="425" spans="1:34">
      <c r="A425" s="66" t="s">
        <v>98</v>
      </c>
      <c r="B425" s="12" t="s">
        <v>544</v>
      </c>
      <c r="C425" s="12"/>
      <c r="D425" s="12"/>
      <c r="E425" s="30"/>
      <c r="F425" s="30"/>
      <c r="G425" s="30"/>
      <c r="H425" s="46"/>
      <c r="I425" s="46"/>
      <c r="J425" s="46"/>
      <c r="K425" s="30" t="s">
        <v>544</v>
      </c>
      <c r="L425" s="30"/>
      <c r="M425" s="30"/>
      <c r="N425" s="30"/>
      <c r="O425" s="30"/>
      <c r="P425" s="30"/>
      <c r="Q425" s="30"/>
      <c r="R425" s="46"/>
      <c r="S425" s="46"/>
      <c r="T425" s="46"/>
      <c r="U425" s="46"/>
      <c r="V425" s="143"/>
      <c r="W425" s="143"/>
      <c r="Y425" s="143"/>
      <c r="Z425" s="143"/>
      <c r="AD425" s="46"/>
      <c r="AE425" s="46"/>
      <c r="AF425" s="46"/>
      <c r="AH425" s="46"/>
    </row>
    <row r="426" spans="1:34">
      <c r="A426" s="24" t="s">
        <v>49</v>
      </c>
      <c r="B426" s="12">
        <v>144565.13</v>
      </c>
      <c r="C426" s="12">
        <v>125729.13</v>
      </c>
      <c r="D426" s="12"/>
      <c r="E426" s="30"/>
      <c r="F426" s="30"/>
      <c r="G426" s="30"/>
      <c r="H426" s="46"/>
      <c r="I426" s="46"/>
      <c r="J426" s="46"/>
      <c r="K426" s="30" t="s">
        <v>544</v>
      </c>
      <c r="L426" s="30"/>
      <c r="M426" s="30"/>
      <c r="N426" s="30"/>
      <c r="O426" s="30"/>
      <c r="P426" s="30"/>
      <c r="Q426" s="30"/>
      <c r="R426" s="46"/>
      <c r="S426" s="46"/>
      <c r="T426" s="46"/>
      <c r="U426" s="46"/>
      <c r="V426" s="143"/>
      <c r="W426" s="143"/>
      <c r="Y426" s="143"/>
      <c r="Z426" s="143"/>
      <c r="AD426" s="46"/>
      <c r="AE426" s="46"/>
      <c r="AF426" s="46"/>
      <c r="AH426" s="46"/>
    </row>
    <row r="427" spans="1:34">
      <c r="A427" s="24" t="s">
        <v>278</v>
      </c>
      <c r="B427" s="12">
        <f>1108020.12+167335.04-10482.53-3053.9</f>
        <v>1261818.7300000002</v>
      </c>
      <c r="C427" s="12">
        <v>875662.63</v>
      </c>
      <c r="D427" s="12"/>
      <c r="E427" s="30"/>
      <c r="F427" s="30"/>
      <c r="G427" s="30"/>
      <c r="H427" s="46"/>
      <c r="I427" s="46"/>
      <c r="J427" s="46"/>
      <c r="K427" s="30" t="s">
        <v>544</v>
      </c>
      <c r="L427" s="30"/>
      <c r="M427" s="30"/>
      <c r="N427" s="30"/>
      <c r="O427" s="30"/>
      <c r="P427" s="30"/>
      <c r="Q427" s="30"/>
      <c r="R427" s="46"/>
      <c r="S427" s="46"/>
      <c r="T427" s="46"/>
      <c r="U427" s="46"/>
      <c r="V427" s="143"/>
      <c r="W427" s="143"/>
      <c r="Y427" s="143"/>
      <c r="Z427" s="143"/>
      <c r="AD427" s="46"/>
      <c r="AE427" s="46"/>
      <c r="AF427" s="46"/>
      <c r="AH427" s="46"/>
    </row>
    <row r="428" spans="1:34">
      <c r="A428" s="24" t="s">
        <v>50</v>
      </c>
      <c r="B428" s="12">
        <v>169032.7</v>
      </c>
      <c r="C428" s="12">
        <v>2385403.5</v>
      </c>
      <c r="D428" s="12"/>
      <c r="E428" s="30"/>
      <c r="F428" s="30"/>
      <c r="G428" s="30"/>
      <c r="H428" s="46"/>
      <c r="I428" s="46"/>
      <c r="J428" s="46"/>
      <c r="K428" s="30"/>
      <c r="L428" s="30"/>
      <c r="M428" s="30"/>
      <c r="N428" s="30"/>
      <c r="O428" s="30"/>
      <c r="P428" s="30"/>
      <c r="Q428" s="30"/>
      <c r="R428" s="46"/>
      <c r="S428" s="46"/>
      <c r="T428" s="46"/>
      <c r="U428" s="46"/>
      <c r="V428" s="143"/>
      <c r="W428" s="143"/>
      <c r="Y428" s="143"/>
      <c r="Z428" s="143"/>
      <c r="AD428" s="46"/>
      <c r="AE428" s="46"/>
      <c r="AF428" s="46"/>
      <c r="AH428" s="46"/>
    </row>
    <row r="429" spans="1:34">
      <c r="A429" s="60" t="s">
        <v>294</v>
      </c>
      <c r="B429" s="60">
        <f>SUM(B425:B428)</f>
        <v>1575416.5600000003</v>
      </c>
      <c r="C429" s="60">
        <f>SUM(C425:C428)</f>
        <v>3386795.26</v>
      </c>
      <c r="D429" s="60"/>
      <c r="E429" s="22"/>
      <c r="F429" s="22"/>
      <c r="G429" s="22"/>
      <c r="H429" s="46"/>
      <c r="I429" s="46"/>
      <c r="J429" s="46"/>
      <c r="K429" s="22" t="s">
        <v>544</v>
      </c>
      <c r="L429" s="22"/>
      <c r="M429" s="22"/>
      <c r="N429" s="22"/>
      <c r="O429" s="22"/>
      <c r="P429" s="22"/>
      <c r="Q429" s="22"/>
      <c r="R429" s="46"/>
      <c r="S429" s="46"/>
      <c r="T429" s="46"/>
      <c r="U429" s="46"/>
      <c r="V429" s="143"/>
      <c r="W429" s="143"/>
      <c r="Y429" s="143"/>
      <c r="Z429" s="143"/>
      <c r="AD429" s="46"/>
      <c r="AE429" s="46"/>
      <c r="AF429" s="46"/>
      <c r="AH429" s="46"/>
    </row>
    <row r="430" spans="1:34">
      <c r="A430" s="60"/>
      <c r="B430" s="12"/>
      <c r="C430" s="24"/>
      <c r="D430" s="24"/>
      <c r="E430" s="30"/>
      <c r="F430" s="30"/>
      <c r="G430" s="30"/>
      <c r="H430" s="46"/>
      <c r="I430" s="46"/>
      <c r="J430" s="46"/>
      <c r="K430" s="30"/>
      <c r="L430" s="30"/>
      <c r="M430" s="30"/>
      <c r="N430" s="30"/>
      <c r="O430" s="30"/>
      <c r="P430" s="30"/>
      <c r="Q430" s="30"/>
      <c r="R430" s="46"/>
      <c r="S430" s="46"/>
      <c r="T430" s="46"/>
      <c r="U430" s="46"/>
      <c r="V430" s="143"/>
      <c r="W430" s="143"/>
      <c r="Y430" s="143"/>
      <c r="Z430" s="143"/>
      <c r="AD430" s="46"/>
      <c r="AE430" s="46"/>
      <c r="AF430" s="46"/>
      <c r="AH430" s="46"/>
    </row>
    <row r="431" spans="1:34">
      <c r="A431" s="66" t="s">
        <v>51</v>
      </c>
      <c r="B431" s="12">
        <v>0</v>
      </c>
      <c r="C431" s="12">
        <v>0</v>
      </c>
      <c r="D431" s="12"/>
      <c r="E431" s="30"/>
      <c r="F431" s="30"/>
      <c r="G431" s="30"/>
      <c r="H431" s="46"/>
      <c r="I431" s="46"/>
      <c r="J431" s="46"/>
      <c r="K431" s="30"/>
      <c r="L431" s="30"/>
      <c r="M431" s="30"/>
      <c r="N431" s="30"/>
      <c r="O431" s="30"/>
      <c r="P431" s="30"/>
      <c r="Q431" s="30"/>
      <c r="R431" s="46"/>
      <c r="S431" s="46"/>
      <c r="T431" s="46"/>
      <c r="U431" s="46"/>
      <c r="V431" s="143"/>
      <c r="W431" s="143"/>
      <c r="Y431" s="143"/>
      <c r="Z431" s="143"/>
      <c r="AD431" s="46"/>
      <c r="AE431" s="46"/>
      <c r="AF431" s="46"/>
      <c r="AH431" s="46"/>
    </row>
    <row r="432" spans="1:34">
      <c r="A432" s="24" t="s">
        <v>49</v>
      </c>
      <c r="B432" s="12">
        <v>37534507.200000003</v>
      </c>
      <c r="C432" s="12">
        <v>63153463.200000003</v>
      </c>
      <c r="D432" s="12"/>
      <c r="E432" s="30"/>
      <c r="F432" s="30"/>
      <c r="G432" s="30"/>
      <c r="H432" s="46"/>
      <c r="I432" s="46"/>
      <c r="J432" s="46"/>
      <c r="K432" s="115" t="s">
        <v>544</v>
      </c>
      <c r="L432" s="115"/>
      <c r="M432" s="115"/>
      <c r="N432" s="115"/>
      <c r="O432" s="115"/>
      <c r="P432" s="115"/>
      <c r="Q432" s="115"/>
      <c r="R432" s="46"/>
      <c r="S432" s="46"/>
      <c r="T432" s="46"/>
      <c r="U432" s="46"/>
      <c r="V432" s="143"/>
      <c r="W432" s="143"/>
      <c r="Y432" s="143"/>
      <c r="Z432" s="143"/>
      <c r="AD432" s="46"/>
      <c r="AE432" s="46"/>
      <c r="AF432" s="46"/>
      <c r="AH432" s="46"/>
    </row>
    <row r="433" spans="1:34">
      <c r="A433" s="24" t="s">
        <v>278</v>
      </c>
      <c r="B433" s="12">
        <f>429073294+139584487+62432737+8557381.14+18000000+163347004+153700490+5000000-2470959-24725762.04</f>
        <v>952498672.10000002</v>
      </c>
      <c r="C433" s="12">
        <v>802948162.20000005</v>
      </c>
      <c r="D433" s="12"/>
      <c r="E433" s="30"/>
      <c r="F433" s="30"/>
      <c r="G433" s="30"/>
      <c r="H433" s="46"/>
      <c r="I433" s="46"/>
      <c r="J433" s="46"/>
      <c r="K433" s="30"/>
      <c r="L433" s="30"/>
      <c r="M433" s="30"/>
      <c r="N433" s="30"/>
      <c r="O433" s="30"/>
      <c r="P433" s="30"/>
      <c r="Q433" s="30"/>
      <c r="R433" s="46"/>
      <c r="S433" s="46"/>
      <c r="T433" s="46"/>
      <c r="U433" s="46"/>
      <c r="V433" s="143"/>
      <c r="W433" s="143"/>
      <c r="Y433" s="143"/>
      <c r="Z433" s="143"/>
      <c r="AD433" s="46"/>
      <c r="AE433" s="46"/>
      <c r="AF433" s="46"/>
      <c r="AH433" s="46"/>
    </row>
    <row r="434" spans="1:34">
      <c r="A434" s="24" t="s">
        <v>50</v>
      </c>
      <c r="B434" s="12">
        <v>6775425</v>
      </c>
      <c r="C434" s="12">
        <v>5790425</v>
      </c>
      <c r="D434" s="12"/>
      <c r="E434" s="30"/>
      <c r="F434" s="30"/>
      <c r="G434" s="30"/>
      <c r="H434" s="46"/>
      <c r="I434" s="46"/>
      <c r="J434" s="46"/>
      <c r="K434" s="30"/>
      <c r="L434" s="30"/>
      <c r="M434" s="30"/>
      <c r="N434" s="30"/>
      <c r="O434" s="30"/>
      <c r="P434" s="30"/>
      <c r="Q434" s="30"/>
      <c r="R434" s="46"/>
      <c r="S434" s="46"/>
      <c r="T434" s="46"/>
      <c r="U434" s="46"/>
      <c r="V434" s="143"/>
      <c r="W434" s="143"/>
      <c r="Y434" s="143"/>
      <c r="Z434" s="143"/>
      <c r="AD434" s="46"/>
      <c r="AE434" s="46"/>
      <c r="AF434" s="46"/>
      <c r="AH434" s="46"/>
    </row>
    <row r="435" spans="1:34">
      <c r="A435" s="60" t="s">
        <v>294</v>
      </c>
      <c r="B435" s="60">
        <f>SUM(B431:B434)</f>
        <v>996808604.30000007</v>
      </c>
      <c r="C435" s="60">
        <f>SUM(C431:C434)</f>
        <v>871892050.4000001</v>
      </c>
      <c r="D435" s="60"/>
      <c r="E435" s="22"/>
      <c r="F435" s="22"/>
      <c r="G435" s="22"/>
      <c r="H435" s="46"/>
      <c r="I435" s="46"/>
      <c r="J435" s="46"/>
      <c r="K435" s="22" t="s">
        <v>544</v>
      </c>
      <c r="L435" s="22"/>
      <c r="M435" s="22"/>
      <c r="N435" s="22"/>
      <c r="O435" s="22"/>
      <c r="P435" s="22"/>
      <c r="Q435" s="22"/>
      <c r="R435" s="46"/>
      <c r="S435" s="46"/>
      <c r="T435" s="46"/>
      <c r="U435" s="46"/>
      <c r="V435" s="143"/>
      <c r="W435" s="143"/>
      <c r="Y435" s="143"/>
      <c r="Z435" s="143"/>
      <c r="AD435" s="46"/>
      <c r="AE435" s="46"/>
      <c r="AF435" s="46"/>
      <c r="AH435" s="46"/>
    </row>
    <row r="436" spans="1:34">
      <c r="A436" s="60"/>
      <c r="B436" s="60"/>
      <c r="C436" s="60"/>
      <c r="D436" s="60"/>
      <c r="E436" s="22"/>
      <c r="F436" s="22"/>
      <c r="G436" s="22"/>
      <c r="H436" s="46"/>
      <c r="I436" s="46"/>
      <c r="J436" s="46"/>
      <c r="K436" s="22"/>
      <c r="L436" s="22"/>
      <c r="M436" s="22"/>
      <c r="N436" s="22"/>
      <c r="O436" s="22"/>
      <c r="P436" s="22"/>
      <c r="Q436" s="22"/>
      <c r="R436" s="46"/>
      <c r="S436" s="46"/>
      <c r="T436" s="46"/>
      <c r="U436" s="46"/>
      <c r="V436" s="143"/>
      <c r="W436" s="143"/>
      <c r="Y436" s="143"/>
      <c r="Z436" s="143"/>
      <c r="AD436" s="46"/>
      <c r="AE436" s="46"/>
      <c r="AF436" s="46"/>
      <c r="AH436" s="46"/>
    </row>
    <row r="437" spans="1:34">
      <c r="A437" s="66" t="s">
        <v>52</v>
      </c>
      <c r="B437" s="24">
        <v>0</v>
      </c>
      <c r="C437" s="12">
        <v>0</v>
      </c>
      <c r="D437" s="12"/>
      <c r="E437" s="22"/>
      <c r="F437" s="22"/>
      <c r="G437" s="22"/>
      <c r="H437" s="46"/>
      <c r="I437" s="46"/>
      <c r="J437" s="46"/>
      <c r="K437" s="22"/>
      <c r="L437" s="22"/>
      <c r="M437" s="22"/>
      <c r="N437" s="22"/>
      <c r="O437" s="22"/>
      <c r="P437" s="22"/>
      <c r="Q437" s="22"/>
      <c r="R437" s="46"/>
      <c r="S437" s="46"/>
      <c r="T437" s="46"/>
      <c r="U437" s="46"/>
      <c r="V437" s="143"/>
      <c r="W437" s="143"/>
      <c r="Y437" s="143"/>
      <c r="Z437" s="143"/>
      <c r="AD437" s="46"/>
      <c r="AE437" s="46"/>
      <c r="AF437" s="46"/>
      <c r="AH437" s="46"/>
    </row>
    <row r="438" spans="1:34">
      <c r="A438" s="24" t="s">
        <v>50</v>
      </c>
      <c r="B438" s="24">
        <v>616944</v>
      </c>
      <c r="C438" s="24">
        <v>506301</v>
      </c>
      <c r="D438" s="24"/>
      <c r="E438" s="22"/>
      <c r="F438" s="22"/>
      <c r="G438" s="22"/>
      <c r="H438" s="46"/>
      <c r="I438" s="46"/>
      <c r="J438" s="46"/>
      <c r="K438" s="22"/>
      <c r="L438" s="22"/>
      <c r="M438" s="22"/>
      <c r="N438" s="22"/>
      <c r="O438" s="22"/>
      <c r="P438" s="22"/>
      <c r="Q438" s="22"/>
      <c r="R438" s="46"/>
      <c r="S438" s="46"/>
      <c r="T438" s="46"/>
      <c r="U438" s="46"/>
      <c r="V438" s="143"/>
      <c r="W438" s="143"/>
      <c r="Y438" s="143"/>
      <c r="Z438" s="143"/>
      <c r="AD438" s="46"/>
      <c r="AE438" s="46"/>
      <c r="AF438" s="46"/>
      <c r="AH438" s="46"/>
    </row>
    <row r="439" spans="1:34">
      <c r="A439" s="24" t="s">
        <v>49</v>
      </c>
      <c r="B439" s="24">
        <v>8948447</v>
      </c>
      <c r="C439" s="24">
        <v>6379930.96</v>
      </c>
      <c r="D439" s="24"/>
      <c r="E439" s="22"/>
      <c r="F439" s="22"/>
      <c r="G439" s="22"/>
      <c r="H439" s="46"/>
      <c r="I439" s="46"/>
      <c r="J439" s="46"/>
      <c r="K439" s="22"/>
      <c r="L439" s="22"/>
      <c r="M439" s="22"/>
      <c r="N439" s="22"/>
      <c r="O439" s="22"/>
      <c r="P439" s="22"/>
      <c r="Q439" s="22"/>
      <c r="R439" s="46"/>
      <c r="S439" s="46"/>
      <c r="T439" s="46"/>
      <c r="U439" s="46"/>
      <c r="V439" s="143"/>
      <c r="W439" s="143"/>
      <c r="Y439" s="143"/>
      <c r="Z439" s="143"/>
      <c r="AD439" s="46"/>
      <c r="AE439" s="46"/>
      <c r="AF439" s="46"/>
      <c r="AH439" s="46"/>
    </row>
    <row r="440" spans="1:34">
      <c r="A440" s="24" t="s">
        <v>278</v>
      </c>
      <c r="B440" s="24">
        <f>40857311-19937-162978</f>
        <v>40674396</v>
      </c>
      <c r="C440" s="24">
        <v>35523009</v>
      </c>
      <c r="D440" s="24"/>
      <c r="E440" s="22"/>
      <c r="F440" s="22"/>
      <c r="G440" s="22"/>
      <c r="H440" s="46"/>
      <c r="I440" s="46"/>
      <c r="J440" s="46"/>
      <c r="K440" s="22"/>
      <c r="L440" s="22"/>
      <c r="M440" s="22"/>
      <c r="N440" s="22"/>
      <c r="O440" s="22"/>
      <c r="P440" s="22"/>
      <c r="Q440" s="22"/>
      <c r="R440" s="46"/>
      <c r="S440" s="46"/>
      <c r="T440" s="46"/>
      <c r="U440" s="46"/>
      <c r="V440" s="143"/>
      <c r="W440" s="143"/>
      <c r="Y440" s="143"/>
      <c r="Z440" s="143"/>
      <c r="AD440" s="46"/>
      <c r="AE440" s="46"/>
      <c r="AF440" s="46"/>
      <c r="AH440" s="46"/>
    </row>
    <row r="441" spans="1:34">
      <c r="A441" s="60" t="s">
        <v>294</v>
      </c>
      <c r="B441" s="60">
        <f>SUM(B438:B440)</f>
        <v>50239787</v>
      </c>
      <c r="C441" s="60">
        <f>SUM(C438:C440)</f>
        <v>42409240.960000001</v>
      </c>
      <c r="D441" s="60"/>
      <c r="E441" s="22"/>
      <c r="F441" s="22"/>
      <c r="G441" s="22"/>
      <c r="H441" s="46"/>
      <c r="I441" s="46"/>
      <c r="J441" s="46"/>
      <c r="K441" s="22"/>
      <c r="L441" s="22"/>
      <c r="M441" s="22"/>
      <c r="N441" s="22"/>
      <c r="O441" s="22"/>
      <c r="P441" s="22"/>
      <c r="Q441" s="22"/>
      <c r="R441" s="46"/>
      <c r="S441" s="46"/>
      <c r="T441" s="46"/>
      <c r="U441" s="46"/>
      <c r="V441" s="143"/>
      <c r="W441" s="143"/>
      <c r="Y441" s="143"/>
      <c r="Z441" s="143"/>
      <c r="AD441" s="46"/>
      <c r="AE441" s="46"/>
      <c r="AF441" s="46"/>
      <c r="AH441" s="46"/>
    </row>
    <row r="442" spans="1:34">
      <c r="A442" s="60"/>
      <c r="B442" s="12"/>
      <c r="C442" s="24"/>
      <c r="D442" s="24"/>
      <c r="E442" s="30"/>
      <c r="F442" s="30"/>
      <c r="G442" s="30"/>
      <c r="H442" s="46"/>
      <c r="I442" s="46"/>
      <c r="J442" s="46"/>
      <c r="K442" s="30"/>
      <c r="L442" s="30"/>
      <c r="M442" s="30"/>
      <c r="N442" s="30"/>
      <c r="O442" s="30"/>
      <c r="P442" s="30"/>
      <c r="Q442" s="30"/>
      <c r="R442" s="46"/>
      <c r="S442" s="46"/>
      <c r="T442" s="46"/>
      <c r="U442" s="46"/>
      <c r="V442" s="143"/>
      <c r="W442" s="143"/>
      <c r="Y442" s="143"/>
      <c r="Z442" s="143"/>
      <c r="AD442" s="46"/>
      <c r="AE442" s="46"/>
      <c r="AF442" s="46"/>
      <c r="AH442" s="46"/>
    </row>
    <row r="443" spans="1:34">
      <c r="A443" s="66" t="s">
        <v>598</v>
      </c>
      <c r="B443" s="12"/>
      <c r="C443" s="24"/>
      <c r="D443" s="24"/>
      <c r="E443" s="30"/>
      <c r="F443" s="30"/>
      <c r="G443" s="30"/>
      <c r="H443" s="46"/>
      <c r="I443" s="46"/>
      <c r="J443" s="46"/>
      <c r="K443" s="30"/>
      <c r="L443" s="30"/>
      <c r="M443" s="30"/>
      <c r="N443" s="30"/>
      <c r="O443" s="30"/>
      <c r="P443" s="30"/>
      <c r="Q443" s="30"/>
      <c r="R443" s="46"/>
      <c r="S443" s="46"/>
      <c r="T443" s="46"/>
      <c r="U443" s="46"/>
      <c r="V443" s="143"/>
      <c r="W443" s="143"/>
      <c r="Y443" s="143"/>
      <c r="Z443" s="143"/>
      <c r="AD443" s="46"/>
      <c r="AE443" s="46"/>
      <c r="AF443" s="46"/>
      <c r="AH443" s="46"/>
    </row>
    <row r="444" spans="1:34">
      <c r="A444" s="66"/>
      <c r="B444" s="12">
        <v>0</v>
      </c>
      <c r="C444" s="12">
        <v>0</v>
      </c>
      <c r="D444" s="12"/>
      <c r="E444" s="30"/>
      <c r="F444" s="30"/>
      <c r="G444" s="30"/>
      <c r="H444" s="46"/>
      <c r="I444" s="46"/>
      <c r="J444" s="46"/>
      <c r="K444" s="30"/>
      <c r="L444" s="30"/>
      <c r="M444" s="30"/>
      <c r="N444" s="30"/>
      <c r="O444" s="30"/>
      <c r="P444" s="30"/>
      <c r="Q444" s="30"/>
      <c r="R444" s="46"/>
      <c r="S444" s="46"/>
      <c r="T444" s="46"/>
      <c r="U444" s="46"/>
      <c r="V444" s="143"/>
      <c r="W444" s="143"/>
      <c r="Y444" s="143"/>
      <c r="Z444" s="143"/>
      <c r="AD444" s="46"/>
      <c r="AE444" s="46"/>
      <c r="AF444" s="46"/>
      <c r="AH444" s="46"/>
    </row>
    <row r="445" spans="1:34">
      <c r="A445" s="24" t="s">
        <v>535</v>
      </c>
      <c r="B445" s="12">
        <v>0</v>
      </c>
      <c r="C445" s="24">
        <v>0</v>
      </c>
      <c r="D445" s="24"/>
      <c r="E445" s="30"/>
      <c r="F445" s="30"/>
      <c r="G445" s="30"/>
      <c r="H445" s="46"/>
      <c r="I445" s="46"/>
      <c r="J445" s="46"/>
      <c r="K445" s="30"/>
      <c r="L445" s="30"/>
      <c r="M445" s="30"/>
      <c r="N445" s="30"/>
      <c r="O445" s="30"/>
      <c r="P445" s="30"/>
      <c r="Q445" s="30"/>
      <c r="R445" s="46"/>
      <c r="S445" s="46"/>
      <c r="T445" s="46"/>
      <c r="U445" s="46"/>
      <c r="V445" s="143"/>
      <c r="W445" s="143"/>
      <c r="Y445" s="143"/>
      <c r="Z445" s="143"/>
      <c r="AD445" s="46"/>
      <c r="AE445" s="46"/>
      <c r="AF445" s="46"/>
      <c r="AH445" s="46"/>
    </row>
    <row r="446" spans="1:34">
      <c r="A446" s="24" t="s">
        <v>49</v>
      </c>
      <c r="B446" s="12">
        <v>2016921</v>
      </c>
      <c r="C446" s="24">
        <v>1427260</v>
      </c>
      <c r="D446" s="24"/>
      <c r="E446" s="30"/>
      <c r="F446" s="30"/>
      <c r="G446" s="30"/>
      <c r="H446" s="46"/>
      <c r="I446" s="46"/>
      <c r="J446" s="46"/>
      <c r="K446" s="30"/>
      <c r="L446" s="30"/>
      <c r="M446" s="30"/>
      <c r="N446" s="30"/>
      <c r="O446" s="30"/>
      <c r="P446" s="30"/>
      <c r="Q446" s="30"/>
      <c r="R446" s="46"/>
      <c r="S446" s="46"/>
      <c r="T446" s="46"/>
      <c r="U446" s="46"/>
      <c r="V446" s="143"/>
      <c r="W446" s="143"/>
      <c r="Y446" s="143"/>
      <c r="Z446" s="143"/>
      <c r="AD446" s="46"/>
      <c r="AE446" s="46"/>
      <c r="AF446" s="46"/>
      <c r="AH446" s="46"/>
    </row>
    <row r="447" spans="1:34">
      <c r="A447" s="24" t="s">
        <v>278</v>
      </c>
      <c r="B447" s="12">
        <v>7358826</v>
      </c>
      <c r="C447" s="24"/>
      <c r="D447" s="24"/>
      <c r="E447" s="30"/>
      <c r="F447" s="30"/>
      <c r="G447" s="30"/>
      <c r="H447" s="46"/>
      <c r="I447" s="46"/>
      <c r="J447" s="46"/>
      <c r="K447" s="30"/>
      <c r="L447" s="30"/>
      <c r="M447" s="30"/>
      <c r="N447" s="30"/>
      <c r="O447" s="30"/>
      <c r="P447" s="30"/>
      <c r="Q447" s="30"/>
      <c r="R447" s="46"/>
      <c r="S447" s="46"/>
      <c r="T447" s="46"/>
      <c r="U447" s="46"/>
      <c r="V447" s="143"/>
      <c r="W447" s="143"/>
      <c r="Y447" s="143"/>
      <c r="Z447" s="143"/>
      <c r="AD447" s="46"/>
      <c r="AE447" s="46"/>
      <c r="AF447" s="46"/>
      <c r="AH447" s="46"/>
    </row>
    <row r="448" spans="1:34">
      <c r="A448" s="60" t="s">
        <v>294</v>
      </c>
      <c r="B448" s="13">
        <f>SUM(B444:B447)</f>
        <v>9375747</v>
      </c>
      <c r="C448" s="13">
        <f>SUM(C444:C446)</f>
        <v>1427260</v>
      </c>
      <c r="D448" s="13"/>
      <c r="E448" s="30"/>
      <c r="F448" s="30"/>
      <c r="G448" s="30"/>
      <c r="H448" s="46"/>
      <c r="I448" s="46"/>
      <c r="J448" s="46"/>
      <c r="K448" s="30"/>
      <c r="L448" s="30"/>
      <c r="M448" s="30"/>
      <c r="N448" s="30"/>
      <c r="O448" s="30"/>
      <c r="P448" s="30"/>
      <c r="Q448" s="30"/>
      <c r="R448" s="46"/>
      <c r="S448" s="46"/>
      <c r="T448" s="46"/>
      <c r="U448" s="46"/>
      <c r="V448" s="143"/>
      <c r="W448" s="143"/>
      <c r="Y448" s="143"/>
      <c r="Z448" s="143"/>
      <c r="AD448" s="46"/>
      <c r="AE448" s="46"/>
      <c r="AF448" s="46"/>
      <c r="AH448" s="46"/>
    </row>
    <row r="449" spans="1:34">
      <c r="A449" s="24"/>
      <c r="B449" s="12"/>
      <c r="C449" s="24"/>
      <c r="D449" s="24"/>
      <c r="E449" s="30"/>
      <c r="F449" s="30"/>
      <c r="G449" s="30"/>
      <c r="H449" s="46"/>
      <c r="I449" s="46"/>
      <c r="J449" s="46"/>
      <c r="K449" s="30"/>
      <c r="L449" s="30"/>
      <c r="M449" s="30"/>
      <c r="N449" s="30"/>
      <c r="O449" s="30"/>
      <c r="P449" s="30"/>
      <c r="Q449" s="30"/>
      <c r="R449" s="46"/>
      <c r="S449" s="46"/>
      <c r="T449" s="46"/>
      <c r="U449" s="46"/>
      <c r="V449" s="143"/>
      <c r="W449" s="143"/>
      <c r="Y449" s="143"/>
      <c r="Z449" s="143"/>
      <c r="AD449" s="46"/>
      <c r="AE449" s="46"/>
      <c r="AF449" s="46"/>
      <c r="AH449" s="46"/>
    </row>
    <row r="450" spans="1:34">
      <c r="A450" s="66" t="s">
        <v>559</v>
      </c>
      <c r="B450" s="60">
        <f>SUM(B429+B435+B448+B441)</f>
        <v>1057999554.86</v>
      </c>
      <c r="C450" s="60">
        <f>SUM(C429+C435+C448+C441)</f>
        <v>919115346.62000012</v>
      </c>
      <c r="D450" s="60"/>
      <c r="E450" s="30"/>
      <c r="F450" s="30"/>
      <c r="G450" s="30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143"/>
      <c r="W450" s="143"/>
      <c r="Y450" s="143"/>
      <c r="Z450" s="143"/>
      <c r="AD450" s="46"/>
      <c r="AE450" s="46"/>
      <c r="AF450" s="46"/>
      <c r="AH450" s="46"/>
    </row>
    <row r="451" spans="1:34">
      <c r="A451" s="60" t="s">
        <v>544</v>
      </c>
      <c r="B451" s="12"/>
      <c r="C451" s="24"/>
      <c r="D451" s="24"/>
      <c r="E451" s="30"/>
      <c r="F451" s="30"/>
      <c r="G451" s="30"/>
      <c r="H451" s="46"/>
      <c r="I451" s="46"/>
      <c r="J451" s="46"/>
      <c r="K451" s="30"/>
      <c r="L451" s="30"/>
      <c r="M451" s="30"/>
      <c r="N451" s="30"/>
      <c r="O451" s="30"/>
      <c r="P451" s="30"/>
      <c r="Q451" s="30"/>
      <c r="R451" s="46"/>
      <c r="S451" s="46"/>
      <c r="T451" s="46"/>
      <c r="U451" s="46"/>
      <c r="V451" s="143"/>
      <c r="W451" s="143"/>
      <c r="Y451" s="143"/>
      <c r="Z451" s="143"/>
      <c r="AD451" s="46"/>
      <c r="AE451" s="46"/>
      <c r="AF451" s="46"/>
      <c r="AH451" s="46"/>
    </row>
    <row r="452" spans="1:34">
      <c r="A452" s="24"/>
      <c r="B452" s="12"/>
      <c r="C452" s="24"/>
      <c r="D452" s="24"/>
      <c r="E452" s="30"/>
      <c r="F452" s="30"/>
      <c r="G452" s="30"/>
      <c r="H452" s="46"/>
      <c r="I452" s="46"/>
      <c r="J452" s="46"/>
      <c r="K452" s="30"/>
      <c r="L452" s="30"/>
      <c r="M452" s="30"/>
      <c r="N452" s="30"/>
      <c r="O452" s="30"/>
      <c r="P452" s="30"/>
      <c r="Q452" s="30"/>
      <c r="R452" s="46"/>
      <c r="S452" s="46"/>
      <c r="T452" s="46"/>
      <c r="U452" s="46"/>
      <c r="V452" s="143"/>
      <c r="W452" s="143"/>
      <c r="Y452" s="143"/>
      <c r="Z452" s="143"/>
      <c r="AD452" s="46"/>
      <c r="AE452" s="46"/>
      <c r="AF452" s="46"/>
      <c r="AH452" s="46"/>
    </row>
    <row r="453" spans="1:34">
      <c r="A453" s="66" t="s">
        <v>53</v>
      </c>
      <c r="B453" s="12"/>
      <c r="C453" s="24"/>
      <c r="D453" s="24"/>
      <c r="E453" s="30"/>
      <c r="F453" s="30"/>
      <c r="G453" s="30"/>
      <c r="H453" s="46"/>
      <c r="I453" s="46"/>
      <c r="J453" s="46"/>
      <c r="K453" s="30"/>
      <c r="L453" s="30"/>
      <c r="M453" s="30"/>
      <c r="N453" s="30"/>
      <c r="O453" s="30"/>
      <c r="P453" s="30"/>
      <c r="Q453" s="30"/>
      <c r="R453" s="46"/>
      <c r="S453" s="46"/>
      <c r="T453" s="46"/>
      <c r="U453" s="46"/>
      <c r="V453" s="143"/>
      <c r="W453" s="143"/>
      <c r="Y453" s="143"/>
      <c r="Z453" s="143"/>
      <c r="AD453" s="46"/>
      <c r="AE453" s="46"/>
      <c r="AF453" s="46"/>
      <c r="AH453" s="46"/>
    </row>
    <row r="454" spans="1:34">
      <c r="A454" s="24"/>
      <c r="B454" s="12" t="s">
        <v>544</v>
      </c>
      <c r="C454" s="12" t="s">
        <v>544</v>
      </c>
      <c r="D454" s="12"/>
      <c r="E454" s="30"/>
      <c r="F454" s="30"/>
      <c r="G454" s="30"/>
      <c r="H454" s="46"/>
      <c r="I454" s="46"/>
      <c r="J454" s="46"/>
      <c r="K454" s="30"/>
      <c r="L454" s="30"/>
      <c r="M454" s="30"/>
      <c r="N454" s="30"/>
      <c r="O454" s="30"/>
      <c r="P454" s="30"/>
      <c r="Q454" s="30"/>
      <c r="R454" s="46"/>
      <c r="S454" s="46"/>
      <c r="T454" s="46"/>
      <c r="U454" s="46"/>
      <c r="V454" s="143"/>
      <c r="W454" s="143"/>
      <c r="Y454" s="143"/>
      <c r="Z454" s="143"/>
      <c r="AD454" s="46"/>
      <c r="AE454" s="46"/>
      <c r="AF454" s="46"/>
      <c r="AH454" s="46"/>
    </row>
    <row r="455" spans="1:34">
      <c r="A455" s="24" t="s">
        <v>98</v>
      </c>
      <c r="B455" s="12">
        <f>'liability-sch FINAL'!B800</f>
        <v>10482.530000000001</v>
      </c>
      <c r="C455" s="12">
        <v>364.53</v>
      </c>
      <c r="D455" s="12"/>
      <c r="E455" s="30"/>
      <c r="F455" s="30"/>
      <c r="G455" s="30"/>
      <c r="H455" s="46"/>
      <c r="I455" s="46"/>
      <c r="J455" s="46"/>
      <c r="K455" s="30"/>
      <c r="L455" s="30"/>
      <c r="M455" s="30"/>
      <c r="N455" s="30"/>
      <c r="O455" s="30"/>
      <c r="P455" s="30"/>
      <c r="Q455" s="30"/>
      <c r="R455" s="46"/>
      <c r="S455" s="46"/>
      <c r="T455" s="46"/>
      <c r="U455" s="46"/>
      <c r="V455" s="143"/>
      <c r="W455" s="143"/>
      <c r="Y455" s="143"/>
      <c r="Z455" s="143"/>
      <c r="AD455" s="46"/>
      <c r="AE455" s="46"/>
      <c r="AF455" s="46"/>
      <c r="AH455" s="46"/>
    </row>
    <row r="456" spans="1:34">
      <c r="A456" s="24" t="s">
        <v>271</v>
      </c>
      <c r="B456" s="12">
        <f>'liability-sch FINAL'!B801</f>
        <v>2470959</v>
      </c>
      <c r="C456" s="12">
        <v>2224460</v>
      </c>
      <c r="D456" s="12"/>
      <c r="E456" s="30"/>
      <c r="F456" s="30"/>
      <c r="G456" s="30"/>
      <c r="H456" s="46"/>
      <c r="I456" s="46"/>
      <c r="J456" s="46"/>
      <c r="K456" s="30"/>
      <c r="L456" s="30"/>
      <c r="M456" s="30"/>
      <c r="N456" s="30"/>
      <c r="O456" s="30"/>
      <c r="P456" s="30"/>
      <c r="Q456" s="30"/>
      <c r="R456" s="46"/>
      <c r="S456" s="46"/>
      <c r="T456" s="46"/>
      <c r="U456" s="46"/>
      <c r="V456" s="143"/>
      <c r="W456" s="143"/>
      <c r="Y456" s="143"/>
      <c r="Z456" s="143"/>
      <c r="AD456" s="46"/>
      <c r="AE456" s="46"/>
      <c r="AF456" s="46"/>
      <c r="AH456" s="46"/>
    </row>
    <row r="457" spans="1:34">
      <c r="A457" s="24" t="s">
        <v>52</v>
      </c>
      <c r="B457" s="12">
        <f>'liability-sch FINAL'!B802</f>
        <v>19937</v>
      </c>
      <c r="C457" s="24">
        <v>139319</v>
      </c>
      <c r="D457" s="24"/>
      <c r="E457" s="30"/>
      <c r="F457" s="30"/>
      <c r="G457" s="30"/>
      <c r="H457" s="46"/>
      <c r="I457" s="46"/>
      <c r="J457" s="46"/>
      <c r="K457" s="30"/>
      <c r="L457" s="30"/>
      <c r="M457" s="30"/>
      <c r="N457" s="30"/>
      <c r="O457" s="30"/>
      <c r="P457" s="30"/>
      <c r="Q457" s="30"/>
      <c r="R457" s="46"/>
      <c r="S457" s="46"/>
      <c r="T457" s="46"/>
      <c r="U457" s="46"/>
      <c r="V457" s="143"/>
      <c r="W457" s="143"/>
      <c r="Y457" s="143"/>
      <c r="Z457" s="143"/>
      <c r="AD457" s="46"/>
      <c r="AE457" s="46"/>
      <c r="AF457" s="46"/>
      <c r="AH457" s="46"/>
    </row>
    <row r="458" spans="1:34">
      <c r="A458" s="66"/>
      <c r="B458" s="60" t="s">
        <v>544</v>
      </c>
      <c r="C458" s="60" t="s">
        <v>544</v>
      </c>
      <c r="D458" s="60"/>
      <c r="E458" s="30"/>
      <c r="F458" s="30"/>
      <c r="G458" s="30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143"/>
      <c r="W458" s="143"/>
      <c r="Y458" s="143"/>
      <c r="Z458" s="143"/>
      <c r="AD458" s="46"/>
      <c r="AE458" s="46"/>
      <c r="AF458" s="46"/>
      <c r="AH458" s="46"/>
    </row>
    <row r="459" spans="1:34">
      <c r="A459" s="60" t="s">
        <v>294</v>
      </c>
      <c r="B459" s="13">
        <f>SUM(B455:B457)</f>
        <v>2501378.5299999998</v>
      </c>
      <c r="C459" s="13">
        <f>SUM(C455:C457)</f>
        <v>2364143.5299999998</v>
      </c>
      <c r="D459" s="13"/>
      <c r="E459" s="30"/>
      <c r="F459" s="30"/>
      <c r="G459" s="30"/>
      <c r="H459" s="46"/>
      <c r="I459" s="46"/>
      <c r="J459" s="46"/>
      <c r="K459" s="30"/>
      <c r="L459" s="30"/>
      <c r="M459" s="30"/>
      <c r="N459" s="30"/>
      <c r="O459" s="30"/>
      <c r="P459" s="30"/>
      <c r="Q459" s="30"/>
      <c r="R459" s="46"/>
      <c r="S459" s="46"/>
      <c r="T459" s="46"/>
      <c r="U459" s="46"/>
      <c r="V459" s="143"/>
      <c r="W459" s="143"/>
      <c r="Y459" s="143"/>
      <c r="Z459" s="143"/>
      <c r="AD459" s="46"/>
      <c r="AE459" s="46"/>
      <c r="AF459" s="46"/>
      <c r="AH459" s="46"/>
    </row>
    <row r="460" spans="1:34">
      <c r="A460" s="24"/>
      <c r="B460" s="12"/>
      <c r="C460" s="24"/>
      <c r="D460" s="24"/>
      <c r="E460" s="30"/>
      <c r="F460" s="30"/>
      <c r="G460" s="30"/>
      <c r="H460" s="46"/>
      <c r="I460" s="46"/>
      <c r="J460" s="46"/>
      <c r="K460" s="30"/>
      <c r="L460" s="30"/>
      <c r="M460" s="30"/>
      <c r="N460" s="30"/>
      <c r="O460" s="30"/>
      <c r="P460" s="30"/>
      <c r="Q460" s="30"/>
      <c r="R460" s="46"/>
      <c r="S460" s="46"/>
      <c r="T460" s="46"/>
      <c r="U460" s="46"/>
      <c r="V460" s="143"/>
      <c r="W460" s="143"/>
      <c r="Y460" s="143"/>
      <c r="Z460" s="143"/>
      <c r="AD460" s="46"/>
      <c r="AE460" s="46"/>
      <c r="AF460" s="46"/>
      <c r="AH460" s="46"/>
    </row>
    <row r="461" spans="1:34">
      <c r="A461" s="66" t="s">
        <v>54</v>
      </c>
      <c r="B461" s="12"/>
      <c r="C461" s="24"/>
      <c r="D461" s="24"/>
      <c r="E461" s="30"/>
      <c r="F461" s="30"/>
      <c r="G461" s="30"/>
      <c r="H461" s="46"/>
      <c r="I461" s="46"/>
      <c r="J461" s="46"/>
      <c r="K461" s="30"/>
      <c r="L461" s="30"/>
      <c r="M461" s="30"/>
      <c r="N461" s="30"/>
      <c r="O461" s="30"/>
      <c r="P461" s="30"/>
      <c r="Q461" s="30"/>
      <c r="R461" s="46"/>
      <c r="S461" s="46"/>
      <c r="T461" s="46"/>
      <c r="U461" s="46"/>
      <c r="V461" s="143"/>
      <c r="W461" s="143"/>
      <c r="Y461" s="143"/>
      <c r="Z461" s="143"/>
      <c r="AD461" s="46"/>
      <c r="AE461" s="46"/>
      <c r="AF461" s="46"/>
      <c r="AH461" s="46"/>
    </row>
    <row r="462" spans="1:34">
      <c r="A462" s="24"/>
      <c r="B462" s="12" t="s">
        <v>544</v>
      </c>
      <c r="C462" s="12" t="s">
        <v>544</v>
      </c>
      <c r="D462" s="12"/>
      <c r="E462" s="30"/>
      <c r="F462" s="30"/>
      <c r="G462" s="30"/>
      <c r="H462" s="46"/>
      <c r="I462" s="46"/>
      <c r="J462" s="46"/>
      <c r="K462" s="30"/>
      <c r="L462" s="30"/>
      <c r="M462" s="30"/>
      <c r="N462" s="30"/>
      <c r="O462" s="30"/>
      <c r="P462" s="30"/>
      <c r="Q462" s="30"/>
      <c r="R462" s="46"/>
      <c r="S462" s="46"/>
      <c r="T462" s="46"/>
      <c r="U462" s="46"/>
      <c r="V462" s="143"/>
      <c r="W462" s="143"/>
      <c r="Y462" s="143"/>
      <c r="Z462" s="143"/>
      <c r="AD462" s="46"/>
      <c r="AE462" s="46"/>
      <c r="AF462" s="46"/>
      <c r="AH462" s="46"/>
    </row>
    <row r="463" spans="1:34">
      <c r="A463" s="24" t="s">
        <v>98</v>
      </c>
      <c r="B463" s="12">
        <f>'liability-sch FINAL'!B806</f>
        <v>3053.9</v>
      </c>
      <c r="C463" s="12">
        <v>352.9</v>
      </c>
      <c r="D463" s="12"/>
      <c r="E463" s="30"/>
      <c r="F463" s="30"/>
      <c r="G463" s="30"/>
      <c r="H463" s="46"/>
      <c r="I463" s="46"/>
      <c r="J463" s="46"/>
      <c r="K463" s="30"/>
      <c r="L463" s="30"/>
      <c r="M463" s="30"/>
      <c r="N463" s="30"/>
      <c r="O463" s="30"/>
      <c r="P463" s="30"/>
      <c r="Q463" s="30"/>
      <c r="R463" s="46"/>
      <c r="S463" s="46"/>
      <c r="T463" s="46"/>
      <c r="U463" s="46"/>
      <c r="V463" s="143"/>
      <c r="W463" s="143"/>
      <c r="Y463" s="143"/>
      <c r="Z463" s="143"/>
      <c r="AD463" s="46"/>
      <c r="AE463" s="46"/>
      <c r="AF463" s="46"/>
      <c r="AH463" s="46"/>
    </row>
    <row r="464" spans="1:34">
      <c r="A464" s="24" t="s">
        <v>271</v>
      </c>
      <c r="B464" s="12">
        <f>'liability-sch FINAL'!B807</f>
        <v>24725762.039999999</v>
      </c>
      <c r="C464" s="12">
        <v>22822391.140000001</v>
      </c>
      <c r="D464" s="12"/>
      <c r="E464" s="30"/>
      <c r="F464" s="30"/>
      <c r="G464" s="30"/>
      <c r="H464" s="46"/>
      <c r="I464" s="46"/>
      <c r="J464" s="46"/>
      <c r="K464" s="30"/>
      <c r="L464" s="30"/>
      <c r="M464" s="30"/>
      <c r="N464" s="30"/>
      <c r="O464" s="30"/>
      <c r="P464" s="30"/>
      <c r="Q464" s="30"/>
      <c r="R464" s="46"/>
      <c r="S464" s="46"/>
      <c r="T464" s="46"/>
      <c r="U464" s="46"/>
      <c r="V464" s="143"/>
      <c r="W464" s="143"/>
      <c r="Y464" s="143"/>
      <c r="Z464" s="143"/>
      <c r="AD464" s="46"/>
      <c r="AE464" s="46"/>
      <c r="AF464" s="46"/>
      <c r="AH464" s="46"/>
    </row>
    <row r="465" spans="1:37">
      <c r="A465" s="24" t="s">
        <v>52</v>
      </c>
      <c r="B465" s="12">
        <f>'liability-sch FINAL'!B808</f>
        <v>162978</v>
      </c>
      <c r="C465" s="12">
        <v>421366</v>
      </c>
      <c r="D465" s="12"/>
      <c r="E465" s="30"/>
      <c r="F465" s="30"/>
      <c r="G465" s="30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143"/>
      <c r="W465" s="143"/>
      <c r="Y465" s="143"/>
      <c r="Z465" s="143"/>
      <c r="AD465" s="46"/>
      <c r="AE465" s="46"/>
      <c r="AF465" s="46"/>
      <c r="AH465" s="46"/>
    </row>
    <row r="466" spans="1:37">
      <c r="A466" s="66"/>
      <c r="B466" s="60"/>
      <c r="C466" s="60"/>
      <c r="D466" s="60"/>
      <c r="E466" s="30"/>
      <c r="F466" s="30"/>
      <c r="G466" s="30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143"/>
      <c r="W466" s="143"/>
      <c r="Y466" s="143"/>
      <c r="Z466" s="143"/>
      <c r="AD466" s="46"/>
      <c r="AE466" s="46"/>
      <c r="AF466" s="46"/>
      <c r="AH466" s="46"/>
    </row>
    <row r="467" spans="1:37">
      <c r="A467" s="60" t="s">
        <v>294</v>
      </c>
      <c r="B467" s="13">
        <f>SUM(B463:B465)</f>
        <v>24891793.939999998</v>
      </c>
      <c r="C467" s="13">
        <f>SUM(C463:C465)</f>
        <v>23244110.039999999</v>
      </c>
      <c r="D467" s="13"/>
      <c r="E467" s="30"/>
      <c r="F467" s="30"/>
      <c r="G467" s="30"/>
      <c r="H467" s="46"/>
      <c r="I467" s="46"/>
      <c r="J467" s="46"/>
      <c r="K467" s="30"/>
      <c r="L467" s="30"/>
      <c r="M467" s="30"/>
      <c r="N467" s="30"/>
      <c r="O467" s="30"/>
      <c r="P467" s="30"/>
      <c r="Q467" s="30"/>
      <c r="R467" s="46"/>
      <c r="S467" s="46"/>
      <c r="T467" s="46"/>
      <c r="U467" s="46"/>
      <c r="V467" s="143"/>
      <c r="W467" s="143"/>
      <c r="Y467" s="143"/>
      <c r="Z467" s="143"/>
      <c r="AD467" s="46"/>
      <c r="AE467" s="46"/>
      <c r="AF467" s="46"/>
      <c r="AH467" s="46"/>
    </row>
    <row r="468" spans="1:37">
      <c r="A468" s="24"/>
      <c r="B468" s="60" t="s">
        <v>544</v>
      </c>
      <c r="C468" s="60" t="s">
        <v>544</v>
      </c>
      <c r="D468" s="60"/>
      <c r="E468" s="46"/>
      <c r="F468" s="46"/>
      <c r="G468" s="46"/>
      <c r="H468" s="46"/>
      <c r="I468" s="46"/>
      <c r="J468" s="46"/>
      <c r="K468" s="30"/>
      <c r="L468" s="30"/>
      <c r="M468" s="30"/>
      <c r="N468" s="30"/>
      <c r="O468" s="30"/>
      <c r="P468" s="30"/>
      <c r="Q468" s="30"/>
      <c r="R468" s="46"/>
      <c r="S468" s="46"/>
      <c r="T468" s="46"/>
      <c r="U468" s="46"/>
      <c r="V468" s="143"/>
      <c r="W468" s="143"/>
      <c r="Y468" s="143"/>
      <c r="Z468" s="143"/>
      <c r="AD468" s="46"/>
      <c r="AE468" s="46"/>
      <c r="AF468" s="46"/>
      <c r="AH468" s="46"/>
    </row>
    <row r="469" spans="1:37">
      <c r="A469" s="60" t="s">
        <v>55</v>
      </c>
      <c r="B469" s="60">
        <f>+B450+B459+B467</f>
        <v>1085392727.3299999</v>
      </c>
      <c r="C469" s="60">
        <f>+C450+C459+C467</f>
        <v>944723600.19000006</v>
      </c>
      <c r="D469" s="60"/>
      <c r="E469" s="22"/>
      <c r="F469" s="22"/>
      <c r="G469" s="22"/>
      <c r="H469" s="46"/>
      <c r="I469" s="46"/>
      <c r="J469" s="46"/>
      <c r="K469" s="30"/>
      <c r="L469" s="30"/>
      <c r="M469" s="30"/>
      <c r="N469" s="30"/>
      <c r="O469" s="30"/>
      <c r="P469" s="30"/>
      <c r="Q469" s="30"/>
      <c r="R469" s="46"/>
      <c r="S469" s="46"/>
      <c r="T469" s="46"/>
      <c r="U469" s="46"/>
      <c r="V469" s="143"/>
      <c r="W469" s="143"/>
      <c r="Y469" s="143"/>
      <c r="Z469" s="143"/>
      <c r="AD469" s="46"/>
      <c r="AE469" s="46"/>
      <c r="AF469" s="46"/>
      <c r="AH469" s="46"/>
    </row>
    <row r="470" spans="1:37">
      <c r="A470" s="30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143"/>
      <c r="W470" s="143"/>
      <c r="Y470" s="143"/>
      <c r="Z470" s="143"/>
      <c r="AD470" s="46"/>
      <c r="AE470" s="46"/>
      <c r="AF470" s="46"/>
      <c r="AH470" s="46"/>
    </row>
    <row r="471" spans="1:37">
      <c r="A471" s="22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143"/>
      <c r="W471" s="143"/>
      <c r="Y471" s="143"/>
      <c r="Z471" s="143"/>
      <c r="AD471" s="46"/>
      <c r="AE471" s="46"/>
      <c r="AF471" s="46"/>
      <c r="AH471" s="46"/>
    </row>
    <row r="472" spans="1:37">
      <c r="A472" s="22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143"/>
      <c r="W472" s="143"/>
      <c r="Y472" s="143"/>
      <c r="Z472" s="143"/>
      <c r="AD472" s="46"/>
      <c r="AE472" s="46"/>
      <c r="AF472" s="46"/>
      <c r="AH472" s="46"/>
    </row>
    <row r="473" spans="1:37">
      <c r="A473" s="22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143"/>
      <c r="W473" s="143"/>
      <c r="Y473" s="143"/>
      <c r="Z473" s="143"/>
      <c r="AD473" s="46"/>
      <c r="AE473" s="46"/>
      <c r="AF473" s="46"/>
      <c r="AH473" s="46"/>
    </row>
    <row r="474" spans="1:37">
      <c r="A474" s="22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143"/>
      <c r="W474" s="143"/>
      <c r="Y474" s="143"/>
      <c r="Z474" s="143"/>
      <c r="AD474" s="46"/>
      <c r="AE474" s="46"/>
      <c r="AF474" s="46"/>
      <c r="AH474" s="46"/>
    </row>
    <row r="475" spans="1:37">
      <c r="A475" s="22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143"/>
      <c r="W475" s="143"/>
      <c r="Y475" s="143"/>
      <c r="Z475" s="143"/>
      <c r="AD475" s="46"/>
      <c r="AE475" s="46"/>
      <c r="AF475" s="46"/>
      <c r="AH475" s="46"/>
    </row>
    <row r="476" spans="1:37">
      <c r="A476" s="22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143"/>
      <c r="W476" s="143"/>
      <c r="Y476" s="143"/>
      <c r="Z476" s="143"/>
      <c r="AD476" s="46"/>
      <c r="AE476" s="46"/>
      <c r="AF476" s="46"/>
      <c r="AH476" s="46"/>
    </row>
    <row r="477" spans="1:37">
      <c r="A477" s="22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143"/>
      <c r="W477" s="143"/>
      <c r="Y477" s="143"/>
      <c r="Z477" s="143"/>
      <c r="AD477" s="46"/>
      <c r="AE477" s="46"/>
      <c r="AF477" s="46"/>
      <c r="AH477" s="46"/>
    </row>
    <row r="478" spans="1:37" ht="15.75">
      <c r="A478" s="60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37" t="s">
        <v>931</v>
      </c>
      <c r="P478" s="37"/>
      <c r="Q478" s="103"/>
      <c r="R478" s="103"/>
      <c r="S478" s="103"/>
      <c r="T478" s="103"/>
      <c r="U478" s="103"/>
      <c r="V478" s="103"/>
      <c r="W478" s="103"/>
      <c r="X478" s="12"/>
      <c r="Y478" s="149"/>
      <c r="Z478" s="149"/>
      <c r="AA478" s="12"/>
      <c r="AB478" s="12"/>
      <c r="AC478" s="12"/>
      <c r="AD478" s="12"/>
      <c r="AE478" s="12"/>
      <c r="AF478" s="12"/>
      <c r="AH478" s="12"/>
      <c r="AK478" s="82" t="s">
        <v>544</v>
      </c>
    </row>
    <row r="479" spans="1:37">
      <c r="A479" s="60"/>
      <c r="B479" s="60" t="s">
        <v>544</v>
      </c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7">
      <c r="A480" s="60"/>
      <c r="B480" s="72" t="s">
        <v>437</v>
      </c>
      <c r="C480" s="72" t="s">
        <v>561</v>
      </c>
      <c r="D480" s="72" t="s">
        <v>560</v>
      </c>
      <c r="E480" s="83" t="s">
        <v>407</v>
      </c>
      <c r="F480" s="72" t="s">
        <v>59</v>
      </c>
      <c r="G480" s="83" t="s">
        <v>18</v>
      </c>
      <c r="H480" s="72" t="s">
        <v>20</v>
      </c>
      <c r="I480" s="83" t="s">
        <v>371</v>
      </c>
      <c r="J480" s="72" t="s">
        <v>249</v>
      </c>
      <c r="K480" s="72" t="s">
        <v>61</v>
      </c>
      <c r="L480" s="72" t="s">
        <v>22</v>
      </c>
      <c r="M480" s="73" t="s">
        <v>23</v>
      </c>
      <c r="N480" s="72" t="s">
        <v>58</v>
      </c>
      <c r="O480" s="317" t="s">
        <v>251</v>
      </c>
      <c r="P480" s="13" t="s">
        <v>252</v>
      </c>
      <c r="Q480" s="83"/>
      <c r="S480" s="72"/>
      <c r="T480" s="72"/>
      <c r="W480" s="83"/>
      <c r="Z480" s="83"/>
      <c r="AB480" s="72"/>
      <c r="AF480" s="73"/>
    </row>
    <row r="481" spans="1:38" ht="15.75">
      <c r="A481" s="37" t="s">
        <v>544</v>
      </c>
      <c r="B481" s="84"/>
      <c r="C481" s="84"/>
      <c r="D481" s="84"/>
      <c r="E481" s="84"/>
      <c r="F481" s="84"/>
      <c r="G481" s="85"/>
      <c r="H481" s="84"/>
      <c r="I481" s="84"/>
      <c r="J481" s="84"/>
      <c r="K481" s="84"/>
      <c r="L481" s="84"/>
      <c r="M481" s="84"/>
      <c r="N481" s="84"/>
      <c r="O481" s="86" t="s">
        <v>131</v>
      </c>
      <c r="P481" s="86" t="s">
        <v>551</v>
      </c>
      <c r="Q481" s="84"/>
      <c r="S481" s="84"/>
      <c r="T481" s="84"/>
      <c r="W481" s="85"/>
      <c r="Z481" s="84"/>
      <c r="AB481" s="84"/>
      <c r="AF481" s="84"/>
    </row>
    <row r="482" spans="1:38" ht="15.75">
      <c r="A482" s="37" t="s">
        <v>544</v>
      </c>
      <c r="B482" s="87"/>
      <c r="C482" s="87"/>
      <c r="D482" s="87"/>
      <c r="E482" s="87"/>
      <c r="F482" s="87"/>
      <c r="G482" s="150"/>
      <c r="H482" s="87"/>
      <c r="I482" s="151"/>
      <c r="J482" s="87"/>
      <c r="K482" s="87"/>
      <c r="L482" s="87"/>
      <c r="M482" s="87"/>
      <c r="N482" s="87"/>
      <c r="O482" s="315"/>
      <c r="P482" s="315"/>
      <c r="Q482" s="87"/>
      <c r="S482" s="87"/>
      <c r="T482" s="87"/>
      <c r="W482" s="150"/>
      <c r="Z482" s="151"/>
      <c r="AB482" s="87"/>
      <c r="AF482" s="87"/>
      <c r="AL482" s="22"/>
    </row>
    <row r="483" spans="1:38">
      <c r="A483" s="316" t="s">
        <v>292</v>
      </c>
      <c r="B483" s="84"/>
      <c r="C483" s="84"/>
      <c r="D483" s="84"/>
      <c r="E483" s="84"/>
      <c r="F483" s="84"/>
      <c r="G483" s="152"/>
      <c r="H483" s="84"/>
      <c r="I483" s="91"/>
      <c r="J483" s="84"/>
      <c r="K483" s="84"/>
      <c r="L483" s="84"/>
      <c r="M483" s="84"/>
      <c r="N483" s="84"/>
      <c r="O483" s="84"/>
      <c r="P483" s="84"/>
      <c r="Q483" s="84"/>
      <c r="S483" s="84"/>
      <c r="T483" s="84"/>
      <c r="W483" s="152"/>
      <c r="Z483" s="91"/>
      <c r="AB483" s="84"/>
      <c r="AF483" s="84"/>
      <c r="AL483" s="22"/>
    </row>
    <row r="484" spans="1:38">
      <c r="A484" s="153" t="s">
        <v>552</v>
      </c>
      <c r="B484" s="84"/>
      <c r="C484" s="84"/>
      <c r="D484" s="84"/>
      <c r="E484" s="84"/>
      <c r="F484" s="84"/>
      <c r="G484" s="85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S484" s="84"/>
      <c r="T484" s="84"/>
      <c r="W484" s="85"/>
      <c r="Z484" s="84"/>
      <c r="AB484" s="84"/>
      <c r="AF484" s="84"/>
      <c r="AL484" s="22"/>
    </row>
    <row r="485" spans="1:38">
      <c r="A485" s="88" t="s">
        <v>139</v>
      </c>
      <c r="B485" s="84"/>
      <c r="C485" s="84">
        <v>0</v>
      </c>
      <c r="D485" s="84">
        <v>0</v>
      </c>
      <c r="E485" s="84">
        <v>29391852</v>
      </c>
      <c r="F485" s="84"/>
      <c r="G485" s="152">
        <v>875550</v>
      </c>
      <c r="H485" s="84">
        <v>0</v>
      </c>
      <c r="I485" s="88">
        <v>0</v>
      </c>
      <c r="J485" s="84">
        <v>2138.73</v>
      </c>
      <c r="K485" s="84"/>
      <c r="L485" s="84"/>
      <c r="M485" s="84"/>
      <c r="N485" s="84"/>
      <c r="O485" s="84">
        <f>P487</f>
        <v>30269540.73</v>
      </c>
      <c r="P485" s="84">
        <v>30269540.73</v>
      </c>
      <c r="Q485" s="84"/>
      <c r="S485" s="84"/>
      <c r="T485" s="84"/>
      <c r="W485" s="152"/>
      <c r="Z485" s="88"/>
      <c r="AB485" s="84"/>
      <c r="AF485" s="84"/>
      <c r="AL485" s="22"/>
    </row>
    <row r="486" spans="1:38" ht="21.75">
      <c r="A486" s="89" t="s">
        <v>554</v>
      </c>
      <c r="B486" s="84"/>
      <c r="C486" s="84">
        <v>0</v>
      </c>
      <c r="D486" s="84">
        <v>0</v>
      </c>
      <c r="E486" s="84">
        <v>0</v>
      </c>
      <c r="F486" s="84"/>
      <c r="G486" s="85">
        <v>0</v>
      </c>
      <c r="H486" s="84">
        <v>0</v>
      </c>
      <c r="I486" s="90">
        <v>0</v>
      </c>
      <c r="J486" s="84">
        <v>-2138.73</v>
      </c>
      <c r="K486" s="84"/>
      <c r="L486" s="84"/>
      <c r="M486" s="84"/>
      <c r="N486" s="84"/>
      <c r="O486" s="84">
        <f ca="1">SUM(B486:AB486)</f>
        <v>-2138.73</v>
      </c>
      <c r="P486" s="84">
        <v>0</v>
      </c>
      <c r="Q486" s="84"/>
      <c r="S486" s="84"/>
      <c r="T486" s="84"/>
      <c r="W486" s="85"/>
      <c r="Z486" s="90"/>
      <c r="AB486" s="84"/>
      <c r="AF486" s="84"/>
      <c r="AL486" s="22"/>
    </row>
    <row r="487" spans="1:38">
      <c r="A487" s="94" t="s">
        <v>151</v>
      </c>
      <c r="B487" s="91"/>
      <c r="C487" s="91">
        <f>SUM(C485:C486)</f>
        <v>0</v>
      </c>
      <c r="D487" s="91">
        <f>SUM(D485:D486)</f>
        <v>0</v>
      </c>
      <c r="E487" s="91">
        <f>SUM(E485:E486)</f>
        <v>29391852</v>
      </c>
      <c r="F487" s="91"/>
      <c r="G487" s="91">
        <f>SUM(G485:G486)</f>
        <v>875550</v>
      </c>
      <c r="H487" s="91">
        <v>0</v>
      </c>
      <c r="I487" s="91">
        <f>SUM(I485:I486)</f>
        <v>0</v>
      </c>
      <c r="J487" s="91">
        <f>SUM(J485:J486)</f>
        <v>0</v>
      </c>
      <c r="K487" s="91"/>
      <c r="L487" s="91"/>
      <c r="M487" s="91"/>
      <c r="N487" s="91"/>
      <c r="O487" s="91">
        <f ca="1">SUM(B487:AB487)</f>
        <v>30267402</v>
      </c>
      <c r="P487" s="91">
        <f>SUM(P485:P486)</f>
        <v>30269540.73</v>
      </c>
      <c r="Q487" s="91"/>
      <c r="S487" s="91"/>
      <c r="T487" s="91"/>
      <c r="W487" s="91"/>
      <c r="Z487" s="91"/>
      <c r="AB487" s="91"/>
      <c r="AF487" s="91"/>
      <c r="AL487" s="22"/>
    </row>
    <row r="488" spans="1:38">
      <c r="A488" s="88"/>
      <c r="B488" s="84"/>
      <c r="C488" s="84"/>
      <c r="D488" s="84"/>
      <c r="E488" s="84"/>
      <c r="F488" s="84"/>
      <c r="G488" s="92"/>
      <c r="H488" s="84"/>
      <c r="I488" s="88"/>
      <c r="J488" s="84"/>
      <c r="K488" s="84"/>
      <c r="L488" s="84"/>
      <c r="M488" s="84"/>
      <c r="N488" s="84"/>
      <c r="O488" s="84"/>
      <c r="P488" s="84"/>
      <c r="Q488" s="84"/>
      <c r="S488" s="84"/>
      <c r="T488" s="84"/>
      <c r="W488" s="92"/>
      <c r="Z488" s="88"/>
      <c r="AB488" s="84"/>
      <c r="AF488" s="84"/>
      <c r="AL488" s="22"/>
    </row>
    <row r="489" spans="1:38">
      <c r="A489" s="153" t="s">
        <v>555</v>
      </c>
      <c r="B489" s="84"/>
      <c r="C489" s="84"/>
      <c r="D489" s="84"/>
      <c r="E489" s="84"/>
      <c r="F489" s="84"/>
      <c r="G489" s="85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S489" s="84"/>
      <c r="T489" s="84"/>
      <c r="W489" s="85"/>
      <c r="Z489" s="84"/>
      <c r="AB489" s="84"/>
      <c r="AF489" s="84"/>
      <c r="AL489" s="22"/>
    </row>
    <row r="490" spans="1:38">
      <c r="A490" s="88" t="s">
        <v>132</v>
      </c>
      <c r="B490" s="84">
        <v>4406747</v>
      </c>
      <c r="C490" s="84">
        <v>0</v>
      </c>
      <c r="D490" s="84">
        <v>0</v>
      </c>
      <c r="E490" s="84">
        <v>7463042.8499999996</v>
      </c>
      <c r="F490" s="84"/>
      <c r="G490" s="92">
        <v>878024</v>
      </c>
      <c r="H490" s="84">
        <v>125636</v>
      </c>
      <c r="I490" s="88">
        <v>34700</v>
      </c>
      <c r="J490" s="84">
        <v>0</v>
      </c>
      <c r="K490" s="84">
        <v>1546408.42</v>
      </c>
      <c r="L490" s="84">
        <v>519028</v>
      </c>
      <c r="M490" s="84"/>
      <c r="N490" s="84">
        <v>6029558.8200000003</v>
      </c>
      <c r="O490" s="84">
        <f t="shared" ref="O490:O496" ca="1" si="23">SUM(B490:AB490)</f>
        <v>21003145.09</v>
      </c>
      <c r="P490" s="84">
        <v>22379692.090000004</v>
      </c>
      <c r="Q490" s="84"/>
      <c r="S490" s="84"/>
      <c r="T490" s="84"/>
      <c r="W490" s="92"/>
      <c r="Z490" s="88"/>
      <c r="AB490" s="84"/>
      <c r="AF490" s="84"/>
      <c r="AL490" s="22"/>
    </row>
    <row r="491" spans="1:38">
      <c r="A491" s="88" t="s">
        <v>556</v>
      </c>
      <c r="B491" s="84">
        <v>224755</v>
      </c>
      <c r="C491" s="84">
        <v>0</v>
      </c>
      <c r="D491" s="84">
        <v>0</v>
      </c>
      <c r="E491" s="84">
        <v>1098572</v>
      </c>
      <c r="F491" s="84"/>
      <c r="G491" s="92">
        <v>0</v>
      </c>
      <c r="H491" s="84">
        <v>0</v>
      </c>
      <c r="I491" s="88">
        <v>0</v>
      </c>
      <c r="J491" s="84">
        <v>0</v>
      </c>
      <c r="K491" s="84">
        <v>0</v>
      </c>
      <c r="L491" s="84">
        <v>2000750</v>
      </c>
      <c r="M491" s="84"/>
      <c r="N491" s="84"/>
      <c r="O491" s="84">
        <f t="shared" ca="1" si="23"/>
        <v>3324077</v>
      </c>
      <c r="P491" s="84">
        <v>516453</v>
      </c>
      <c r="Q491" s="84"/>
      <c r="S491" s="84"/>
      <c r="T491" s="84"/>
      <c r="W491" s="92"/>
      <c r="Z491" s="88"/>
      <c r="AB491" s="84"/>
      <c r="AF491" s="84"/>
      <c r="AL491" s="22"/>
    </row>
    <row r="492" spans="1:38">
      <c r="A492" s="88" t="s">
        <v>557</v>
      </c>
      <c r="B492" s="84">
        <v>0</v>
      </c>
      <c r="C492" s="84">
        <v>0</v>
      </c>
      <c r="D492" s="84">
        <v>0</v>
      </c>
      <c r="E492" s="84">
        <v>-1025000</v>
      </c>
      <c r="F492" s="84"/>
      <c r="G492" s="92">
        <v>0</v>
      </c>
      <c r="H492" s="84">
        <v>0</v>
      </c>
      <c r="I492" s="88">
        <v>0</v>
      </c>
      <c r="J492" s="84">
        <v>0</v>
      </c>
      <c r="K492" s="84">
        <v>0</v>
      </c>
      <c r="L492" s="84">
        <v>-387086</v>
      </c>
      <c r="M492" s="84"/>
      <c r="N492" s="84">
        <v>0</v>
      </c>
      <c r="O492" s="84">
        <f t="shared" ca="1" si="23"/>
        <v>-1412086</v>
      </c>
      <c r="P492" s="84">
        <v>-1893000</v>
      </c>
      <c r="Q492" s="84"/>
      <c r="S492" s="84"/>
      <c r="T492" s="84"/>
      <c r="W492" s="92"/>
      <c r="Z492" s="88"/>
      <c r="AB492" s="84"/>
      <c r="AF492" s="84"/>
      <c r="AL492" s="22"/>
    </row>
    <row r="493" spans="1:38">
      <c r="A493" s="88" t="s">
        <v>365</v>
      </c>
      <c r="B493" s="84">
        <v>0</v>
      </c>
      <c r="C493" s="84"/>
      <c r="D493" s="84"/>
      <c r="E493" s="84"/>
      <c r="F493" s="84"/>
      <c r="G493" s="92"/>
      <c r="H493" s="84"/>
      <c r="I493" s="88"/>
      <c r="J493" s="84"/>
      <c r="K493" s="84"/>
      <c r="L493" s="84"/>
      <c r="M493" s="84"/>
      <c r="N493" s="84"/>
      <c r="O493" s="84">
        <f t="shared" ca="1" si="23"/>
        <v>0</v>
      </c>
      <c r="P493" s="84">
        <v>300000</v>
      </c>
      <c r="Q493" s="84"/>
      <c r="S493" s="84"/>
      <c r="T493" s="84"/>
      <c r="W493" s="92"/>
      <c r="Z493" s="88"/>
      <c r="AB493" s="84"/>
      <c r="AF493" s="84"/>
      <c r="AL493" s="22"/>
    </row>
    <row r="494" spans="1:38">
      <c r="A494" s="88" t="s">
        <v>367</v>
      </c>
      <c r="B494" s="84"/>
      <c r="C494" s="84"/>
      <c r="D494" s="84"/>
      <c r="E494" s="84"/>
      <c r="F494" s="84"/>
      <c r="G494" s="92"/>
      <c r="H494" s="84"/>
      <c r="I494" s="88"/>
      <c r="J494" s="84"/>
      <c r="K494" s="84"/>
      <c r="L494" s="84"/>
      <c r="M494" s="84"/>
      <c r="N494" s="84"/>
      <c r="O494" s="84">
        <f t="shared" ca="1" si="23"/>
        <v>0</v>
      </c>
      <c r="P494" s="84">
        <v>-300000</v>
      </c>
      <c r="Q494" s="84"/>
      <c r="S494" s="84"/>
      <c r="T494" s="84"/>
      <c r="W494" s="92"/>
      <c r="Z494" s="88"/>
      <c r="AB494" s="84"/>
      <c r="AF494" s="84"/>
      <c r="AL494" s="22"/>
    </row>
    <row r="495" spans="1:38">
      <c r="A495" s="88" t="s">
        <v>442</v>
      </c>
      <c r="B495" s="84">
        <v>0</v>
      </c>
      <c r="C495" s="84">
        <v>0</v>
      </c>
      <c r="D495" s="84">
        <v>0</v>
      </c>
      <c r="E495" s="84">
        <v>0</v>
      </c>
      <c r="F495" s="84"/>
      <c r="G495" s="92">
        <v>0</v>
      </c>
      <c r="H495" s="84">
        <v>0</v>
      </c>
      <c r="I495" s="88">
        <v>0</v>
      </c>
      <c r="J495" s="84">
        <v>0</v>
      </c>
      <c r="K495" s="84"/>
      <c r="L495" s="84">
        <v>0</v>
      </c>
      <c r="M495" s="84"/>
      <c r="N495" s="84">
        <v>0</v>
      </c>
      <c r="O495" s="84">
        <f t="shared" ca="1" si="23"/>
        <v>0</v>
      </c>
      <c r="P495" s="84">
        <v>0</v>
      </c>
      <c r="Q495" s="84"/>
      <c r="S495" s="84"/>
      <c r="T495" s="84"/>
      <c r="W495" s="92"/>
      <c r="Z495" s="88"/>
      <c r="AB495" s="84"/>
      <c r="AF495" s="84"/>
      <c r="AL495" s="22"/>
    </row>
    <row r="496" spans="1:38">
      <c r="A496" s="88" t="s">
        <v>443</v>
      </c>
      <c r="B496" s="84">
        <v>0</v>
      </c>
      <c r="C496" s="84">
        <v>0</v>
      </c>
      <c r="D496" s="84">
        <v>0</v>
      </c>
      <c r="E496" s="84">
        <v>0</v>
      </c>
      <c r="F496" s="84"/>
      <c r="G496" s="92">
        <v>0</v>
      </c>
      <c r="H496" s="84">
        <v>0</v>
      </c>
      <c r="I496" s="88">
        <v>0</v>
      </c>
      <c r="J496" s="84">
        <v>0</v>
      </c>
      <c r="K496" s="84"/>
      <c r="L496" s="84">
        <v>0</v>
      </c>
      <c r="M496" s="84"/>
      <c r="N496" s="84">
        <v>0</v>
      </c>
      <c r="O496" s="84">
        <f t="shared" ca="1" si="23"/>
        <v>0</v>
      </c>
      <c r="P496" s="84">
        <v>0</v>
      </c>
      <c r="Q496" s="84"/>
      <c r="S496" s="84"/>
      <c r="T496" s="84"/>
      <c r="W496" s="92"/>
      <c r="Z496" s="88"/>
      <c r="AB496" s="84"/>
      <c r="AF496" s="84"/>
      <c r="AL496" s="22"/>
    </row>
    <row r="497" spans="1:38">
      <c r="A497" s="94" t="s">
        <v>151</v>
      </c>
      <c r="B497" s="91">
        <f>SUM(B490:B496)</f>
        <v>4631502</v>
      </c>
      <c r="C497" s="94">
        <f>SUM(C490:C496)</f>
        <v>0</v>
      </c>
      <c r="D497" s="94">
        <f>SUM(D490:D496)</f>
        <v>0</v>
      </c>
      <c r="E497" s="94">
        <f>SUM(E490:E496)</f>
        <v>7536614.8499999996</v>
      </c>
      <c r="F497" s="91"/>
      <c r="G497" s="94">
        <f>SUM(G490:G496)</f>
        <v>878024</v>
      </c>
      <c r="H497" s="94">
        <f>SUM(H490:H496)</f>
        <v>125636</v>
      </c>
      <c r="I497" s="94">
        <f>SUM(I490:I496)</f>
        <v>34700</v>
      </c>
      <c r="J497" s="91">
        <f>SUM(J490:J496)</f>
        <v>0</v>
      </c>
      <c r="K497" s="91">
        <f>SUM(K490:K495)</f>
        <v>1546408.42</v>
      </c>
      <c r="L497" s="91">
        <f>SUM(L490:L496)</f>
        <v>2132692</v>
      </c>
      <c r="M497" s="91"/>
      <c r="N497" s="91">
        <f>SUM(N490:N496)</f>
        <v>6029558.8200000003</v>
      </c>
      <c r="O497" s="91">
        <f ca="1">SUM(O490:O496)</f>
        <v>22915136.09</v>
      </c>
      <c r="P497" s="91">
        <f>SUM(P490:P496)</f>
        <v>21003145.090000004</v>
      </c>
      <c r="Q497" s="94"/>
      <c r="S497" s="91"/>
      <c r="T497" s="91"/>
      <c r="W497" s="94"/>
      <c r="Z497" s="94"/>
      <c r="AB497" s="91"/>
      <c r="AF497" s="91"/>
      <c r="AL497" s="22"/>
    </row>
    <row r="498" spans="1:38">
      <c r="A498" s="88"/>
      <c r="B498" s="84"/>
      <c r="C498" s="84"/>
      <c r="D498" s="84"/>
      <c r="E498" s="84"/>
      <c r="F498" s="84"/>
      <c r="G498" s="93"/>
      <c r="H498" s="84"/>
      <c r="I498" s="94"/>
      <c r="J498" s="84"/>
      <c r="K498" s="84"/>
      <c r="L498" s="84"/>
      <c r="M498" s="84"/>
      <c r="N498" s="84"/>
      <c r="O498" s="84"/>
      <c r="P498" s="84"/>
      <c r="Q498" s="84"/>
      <c r="S498" s="84"/>
      <c r="T498" s="84"/>
      <c r="W498" s="93"/>
      <c r="Z498" s="94"/>
      <c r="AB498" s="84"/>
      <c r="AF498" s="84"/>
      <c r="AL498" s="22"/>
    </row>
    <row r="499" spans="1:38">
      <c r="A499" s="153" t="s">
        <v>444</v>
      </c>
      <c r="B499" s="84"/>
      <c r="C499" s="84"/>
      <c r="D499" s="84"/>
      <c r="E499" s="84"/>
      <c r="F499" s="84"/>
      <c r="G499" s="85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S499" s="84"/>
      <c r="T499" s="84"/>
      <c r="W499" s="85"/>
      <c r="Z499" s="84"/>
      <c r="AB499" s="84"/>
      <c r="AF499" s="84"/>
      <c r="AL499" s="22"/>
    </row>
    <row r="500" spans="1:38">
      <c r="A500" s="88" t="s">
        <v>132</v>
      </c>
      <c r="B500" s="84">
        <v>3639928.5</v>
      </c>
      <c r="C500" s="84">
        <v>573456</v>
      </c>
      <c r="D500" s="84">
        <v>970266</v>
      </c>
      <c r="E500" s="84">
        <v>3951858.75</v>
      </c>
      <c r="F500" s="84">
        <v>1103613</v>
      </c>
      <c r="G500" s="93">
        <v>3746316.8100000005</v>
      </c>
      <c r="H500" s="84">
        <v>2258038</v>
      </c>
      <c r="I500" s="94">
        <v>2067405</v>
      </c>
      <c r="J500" s="84">
        <v>13817601.68</v>
      </c>
      <c r="K500" s="84">
        <v>1383341.44</v>
      </c>
      <c r="L500" s="84">
        <v>2149571</v>
      </c>
      <c r="M500" s="84">
        <v>1628948</v>
      </c>
      <c r="N500" s="84">
        <v>4919557.5999999996</v>
      </c>
      <c r="O500" s="84">
        <f t="shared" ref="O500:O514" ca="1" si="24">SUM(B500:AB500)</f>
        <v>42209901.780000009</v>
      </c>
      <c r="P500" s="84">
        <v>39286195.780000001</v>
      </c>
      <c r="Q500" s="84"/>
      <c r="S500" s="84"/>
      <c r="T500" s="84"/>
      <c r="W500" s="93"/>
      <c r="Z500" s="94"/>
      <c r="AB500" s="84"/>
      <c r="AF500" s="84"/>
      <c r="AL500" s="22"/>
    </row>
    <row r="501" spans="1:38">
      <c r="A501" s="88" t="s">
        <v>556</v>
      </c>
      <c r="B501" s="84">
        <v>329656</v>
      </c>
      <c r="C501" s="84">
        <v>222050</v>
      </c>
      <c r="D501" s="84">
        <v>470643</v>
      </c>
      <c r="E501" s="84">
        <v>8114755</v>
      </c>
      <c r="F501" s="84">
        <f>2237003+150000</f>
        <v>2387003</v>
      </c>
      <c r="G501" s="92">
        <v>2126028</v>
      </c>
      <c r="H501" s="84">
        <f>1065000+162000</f>
        <v>1227000</v>
      </c>
      <c r="I501" s="88">
        <v>1939226</v>
      </c>
      <c r="J501" s="84">
        <v>5911588</v>
      </c>
      <c r="K501" s="84">
        <v>2058001</v>
      </c>
      <c r="L501" s="84">
        <f>8544345+983400</f>
        <v>9527745</v>
      </c>
      <c r="M501" s="84">
        <v>1369569</v>
      </c>
      <c r="N501" s="84">
        <v>0</v>
      </c>
      <c r="O501" s="84">
        <f t="shared" ca="1" si="24"/>
        <v>35683264</v>
      </c>
      <c r="P501" s="84">
        <v>20062816</v>
      </c>
      <c r="Q501" s="84"/>
      <c r="S501" s="84"/>
      <c r="T501" s="84"/>
      <c r="W501" s="92"/>
      <c r="Z501" s="88"/>
      <c r="AB501" s="84"/>
      <c r="AF501" s="84"/>
      <c r="AL501" s="22"/>
    </row>
    <row r="502" spans="1:38">
      <c r="A502" s="88" t="s">
        <v>557</v>
      </c>
      <c r="B502" s="84">
        <v>-381335</v>
      </c>
      <c r="C502" s="84">
        <v>-315216</v>
      </c>
      <c r="D502" s="84">
        <v>-375197</v>
      </c>
      <c r="E502" s="84">
        <v>-5367288</v>
      </c>
      <c r="F502" s="84">
        <f>-326665-2161685</f>
        <v>-2488350</v>
      </c>
      <c r="G502" s="92">
        <v>-3681534</v>
      </c>
      <c r="H502" s="84">
        <f>-122125-1153675</f>
        <v>-1275800</v>
      </c>
      <c r="I502" s="88">
        <v>-1394288</v>
      </c>
      <c r="J502" s="84">
        <v>-7289530</v>
      </c>
      <c r="K502" s="84">
        <v>-1547614</v>
      </c>
      <c r="L502" s="84">
        <f>-992414-6739794</f>
        <v>-7732208</v>
      </c>
      <c r="M502" s="84">
        <v>-1343283</v>
      </c>
      <c r="N502" s="84">
        <v>0</v>
      </c>
      <c r="O502" s="84">
        <f t="shared" ca="1" si="24"/>
        <v>-33191643</v>
      </c>
      <c r="P502" s="84">
        <v>-17234108</v>
      </c>
      <c r="Q502" s="84"/>
      <c r="S502" s="84"/>
      <c r="T502" s="84"/>
      <c r="W502" s="92"/>
      <c r="Z502" s="88"/>
      <c r="AB502" s="84"/>
      <c r="AF502" s="84"/>
      <c r="AJ502" s="46">
        <f>17234108+1593000+72444755+8694052-91571863</f>
        <v>8394052</v>
      </c>
      <c r="AL502" s="22"/>
    </row>
    <row r="503" spans="1:38">
      <c r="A503" s="88" t="s">
        <v>365</v>
      </c>
      <c r="B503" s="84"/>
      <c r="C503" s="84"/>
      <c r="D503" s="84"/>
      <c r="E503" s="84"/>
      <c r="F503" s="84"/>
      <c r="G503" s="92"/>
      <c r="H503" s="84"/>
      <c r="I503" s="88"/>
      <c r="J503" s="84"/>
      <c r="K503" s="84"/>
      <c r="L503" s="84"/>
      <c r="M503" s="84"/>
      <c r="N503" s="84"/>
      <c r="O503" s="84">
        <f t="shared" ca="1" si="24"/>
        <v>0</v>
      </c>
      <c r="P503" s="84">
        <v>704961</v>
      </c>
      <c r="Q503" s="84"/>
      <c r="S503" s="84"/>
      <c r="T503" s="84"/>
      <c r="W503" s="92"/>
      <c r="Z503" s="88"/>
      <c r="AB503" s="84"/>
      <c r="AF503" s="84"/>
      <c r="AL503" s="22"/>
    </row>
    <row r="504" spans="1:38">
      <c r="A504" s="88" t="s">
        <v>445</v>
      </c>
      <c r="B504" s="84"/>
      <c r="C504" s="84"/>
      <c r="D504" s="84"/>
      <c r="E504" s="84"/>
      <c r="F504" s="84"/>
      <c r="G504" s="92"/>
      <c r="H504" s="84"/>
      <c r="I504" s="88"/>
      <c r="J504" s="84">
        <v>0</v>
      </c>
      <c r="K504" s="84"/>
      <c r="L504" s="84"/>
      <c r="M504" s="84"/>
      <c r="N504" s="84">
        <v>0</v>
      </c>
      <c r="O504" s="84">
        <f t="shared" ca="1" si="24"/>
        <v>0</v>
      </c>
      <c r="P504" s="84">
        <v>-509223</v>
      </c>
      <c r="Q504" s="84"/>
      <c r="S504" s="84"/>
      <c r="T504" s="84"/>
      <c r="W504" s="92"/>
      <c r="Z504" s="88"/>
      <c r="AB504" s="84"/>
      <c r="AF504" s="84"/>
      <c r="AL504" s="22"/>
    </row>
    <row r="505" spans="1:38">
      <c r="A505" s="88" t="s">
        <v>365</v>
      </c>
      <c r="B505" s="84"/>
      <c r="C505" s="84"/>
      <c r="D505" s="84"/>
      <c r="E505" s="84"/>
      <c r="F505" s="84"/>
      <c r="G505" s="92"/>
      <c r="H505" s="84"/>
      <c r="I505" s="88"/>
      <c r="J505" s="84"/>
      <c r="K505" s="84"/>
      <c r="L505" s="84"/>
      <c r="M505" s="84"/>
      <c r="N505" s="84"/>
      <c r="O505" s="84">
        <f t="shared" ca="1" si="24"/>
        <v>0</v>
      </c>
      <c r="P505" s="84">
        <v>377376</v>
      </c>
      <c r="Q505" s="84"/>
      <c r="S505" s="84"/>
      <c r="T505" s="84"/>
      <c r="W505" s="92"/>
      <c r="Z505" s="88"/>
      <c r="AB505" s="84"/>
      <c r="AF505" s="84"/>
      <c r="AL505" s="22"/>
    </row>
    <row r="506" spans="1:38">
      <c r="A506" s="88" t="s">
        <v>670</v>
      </c>
      <c r="B506" s="84"/>
      <c r="C506" s="84"/>
      <c r="D506" s="84">
        <v>-300200</v>
      </c>
      <c r="E506" s="84"/>
      <c r="F506" s="84"/>
      <c r="G506" s="92"/>
      <c r="H506" s="84"/>
      <c r="I506" s="88"/>
      <c r="J506" s="84"/>
      <c r="K506" s="84"/>
      <c r="L506" s="84"/>
      <c r="M506" s="84"/>
      <c r="N506" s="84"/>
      <c r="O506" s="84">
        <f t="shared" ca="1" si="24"/>
        <v>-300200</v>
      </c>
      <c r="P506" s="84"/>
      <c r="Q506" s="84"/>
      <c r="S506" s="84"/>
      <c r="T506" s="84"/>
      <c r="W506" s="92"/>
      <c r="Z506" s="88"/>
      <c r="AB506" s="84"/>
      <c r="AF506" s="84"/>
      <c r="AL506" s="22"/>
    </row>
    <row r="507" spans="1:38">
      <c r="A507" s="88" t="s">
        <v>672</v>
      </c>
      <c r="B507" s="84"/>
      <c r="C507" s="84"/>
      <c r="D507" s="84">
        <v>28012</v>
      </c>
      <c r="E507" s="84"/>
      <c r="F507" s="84"/>
      <c r="G507" s="92"/>
      <c r="H507" s="84"/>
      <c r="I507" s="88"/>
      <c r="J507" s="84"/>
      <c r="K507" s="84"/>
      <c r="L507" s="84"/>
      <c r="M507" s="84"/>
      <c r="N507" s="84"/>
      <c r="O507" s="84">
        <f t="shared" ca="1" si="24"/>
        <v>28012</v>
      </c>
      <c r="P507" s="84"/>
      <c r="Q507" s="84"/>
      <c r="S507" s="84"/>
      <c r="T507" s="84"/>
      <c r="W507" s="92"/>
      <c r="Z507" s="88"/>
      <c r="AB507" s="84"/>
      <c r="AF507" s="84"/>
      <c r="AL507" s="22"/>
    </row>
    <row r="508" spans="1:38">
      <c r="A508" s="88" t="s">
        <v>671</v>
      </c>
      <c r="B508" s="84">
        <v>-28012</v>
      </c>
      <c r="C508" s="84"/>
      <c r="D508" s="84"/>
      <c r="E508" s="84"/>
      <c r="F508" s="84"/>
      <c r="G508" s="92"/>
      <c r="H508" s="84"/>
      <c r="I508" s="88"/>
      <c r="J508" s="84"/>
      <c r="K508" s="84"/>
      <c r="L508" s="84"/>
      <c r="M508" s="84"/>
      <c r="N508" s="84"/>
      <c r="O508" s="84">
        <f t="shared" ca="1" si="24"/>
        <v>-28012</v>
      </c>
      <c r="P508" s="84">
        <v>-704961</v>
      </c>
      <c r="Q508" s="84"/>
      <c r="S508" s="84"/>
      <c r="T508" s="84"/>
      <c r="W508" s="92"/>
      <c r="Z508" s="88"/>
      <c r="AB508" s="84"/>
      <c r="AF508" s="84"/>
      <c r="AL508" s="22"/>
    </row>
    <row r="509" spans="1:38">
      <c r="A509" s="88" t="s">
        <v>669</v>
      </c>
      <c r="B509" s="84">
        <v>300200</v>
      </c>
      <c r="C509" s="84"/>
      <c r="D509" s="84"/>
      <c r="E509" s="84"/>
      <c r="F509" s="84"/>
      <c r="G509" s="92"/>
      <c r="H509" s="84"/>
      <c r="I509" s="88"/>
      <c r="J509" s="84"/>
      <c r="K509" s="84"/>
      <c r="L509" s="84"/>
      <c r="M509" s="84"/>
      <c r="N509" s="84"/>
      <c r="O509" s="84">
        <f t="shared" ca="1" si="24"/>
        <v>300200</v>
      </c>
      <c r="P509" s="84"/>
      <c r="Q509" s="84"/>
      <c r="S509" s="84"/>
      <c r="T509" s="84"/>
      <c r="W509" s="92"/>
      <c r="Z509" s="88"/>
      <c r="AB509" s="84"/>
      <c r="AF509" s="84"/>
      <c r="AL509" s="22"/>
    </row>
    <row r="510" spans="1:38">
      <c r="A510" s="88" t="s">
        <v>637</v>
      </c>
      <c r="B510" s="84"/>
      <c r="C510" s="84">
        <v>8520</v>
      </c>
      <c r="D510" s="84">
        <v>0</v>
      </c>
      <c r="E510" s="84">
        <v>0</v>
      </c>
      <c r="F510" s="84">
        <v>0</v>
      </c>
      <c r="G510" s="92">
        <v>96219</v>
      </c>
      <c r="H510" s="84">
        <v>0</v>
      </c>
      <c r="I510" s="88">
        <v>24000</v>
      </c>
      <c r="J510" s="84">
        <v>14172</v>
      </c>
      <c r="K510" s="84">
        <v>0</v>
      </c>
      <c r="L510" s="84">
        <f>61000+37675</f>
        <v>98675</v>
      </c>
      <c r="M510" s="84">
        <v>70000</v>
      </c>
      <c r="N510" s="84">
        <v>0</v>
      </c>
      <c r="O510" s="84">
        <f t="shared" ca="1" si="24"/>
        <v>311586</v>
      </c>
      <c r="P510" s="84">
        <v>1120041</v>
      </c>
      <c r="Q510" s="84"/>
      <c r="S510" s="84"/>
      <c r="T510" s="84"/>
      <c r="W510" s="92"/>
      <c r="Z510" s="88"/>
      <c r="AB510" s="84"/>
      <c r="AF510" s="84"/>
      <c r="AL510" s="22"/>
    </row>
    <row r="511" spans="1:38">
      <c r="A511" s="88" t="s">
        <v>446</v>
      </c>
      <c r="B511" s="84"/>
      <c r="C511" s="84"/>
      <c r="D511" s="84"/>
      <c r="E511" s="84"/>
      <c r="F511" s="84"/>
      <c r="G511" s="92"/>
      <c r="H511" s="84"/>
      <c r="I511" s="88"/>
      <c r="J511" s="84"/>
      <c r="K511" s="84"/>
      <c r="L511" s="84"/>
      <c r="M511" s="84"/>
      <c r="N511" s="84"/>
      <c r="O511" s="84">
        <f t="shared" ca="1" si="24"/>
        <v>0</v>
      </c>
      <c r="P511" s="84">
        <v>-377376</v>
      </c>
      <c r="Q511" s="84"/>
      <c r="S511" s="84"/>
      <c r="T511" s="84"/>
      <c r="W511" s="92"/>
      <c r="Z511" s="88"/>
      <c r="AB511" s="84"/>
      <c r="AF511" s="84"/>
      <c r="AL511" s="22"/>
    </row>
    <row r="512" spans="1:38">
      <c r="A512" s="88" t="s">
        <v>372</v>
      </c>
      <c r="B512" s="84"/>
      <c r="C512" s="84"/>
      <c r="D512" s="84"/>
      <c r="E512" s="84"/>
      <c r="F512" s="84"/>
      <c r="G512" s="92"/>
      <c r="H512" s="84"/>
      <c r="I512" s="88"/>
      <c r="J512" s="84"/>
      <c r="K512" s="84">
        <v>-4900</v>
      </c>
      <c r="L512" s="84"/>
      <c r="M512" s="84"/>
      <c r="N512" s="84"/>
      <c r="O512" s="84">
        <f t="shared" ca="1" si="24"/>
        <v>-4900</v>
      </c>
      <c r="P512" s="84"/>
      <c r="Q512" s="84"/>
      <c r="S512" s="84"/>
      <c r="T512" s="84"/>
      <c r="W512" s="92"/>
      <c r="Z512" s="88"/>
      <c r="AB512" s="84"/>
      <c r="AF512" s="84"/>
      <c r="AL512" s="22"/>
    </row>
    <row r="513" spans="1:38">
      <c r="A513" s="88" t="s">
        <v>285</v>
      </c>
      <c r="B513" s="84">
        <v>-78350</v>
      </c>
      <c r="C513" s="84">
        <v>-46425</v>
      </c>
      <c r="D513" s="84">
        <v>-47520</v>
      </c>
      <c r="E513" s="84">
        <v>0</v>
      </c>
      <c r="F513" s="84">
        <v>0</v>
      </c>
      <c r="G513" s="92">
        <v>-300</v>
      </c>
      <c r="H513" s="84">
        <v>0</v>
      </c>
      <c r="I513" s="88">
        <v>0</v>
      </c>
      <c r="J513" s="84">
        <v>0</v>
      </c>
      <c r="K513" s="84">
        <v>-8772</v>
      </c>
      <c r="L513" s="84">
        <v>-8520</v>
      </c>
      <c r="M513" s="84">
        <v>0</v>
      </c>
      <c r="N513" s="84">
        <v>0</v>
      </c>
      <c r="O513" s="84">
        <f t="shared" ca="1" si="24"/>
        <v>-189887</v>
      </c>
      <c r="P513" s="84">
        <v>-1025043</v>
      </c>
      <c r="Q513" s="84"/>
      <c r="S513" s="84"/>
      <c r="T513" s="84"/>
      <c r="W513" s="92"/>
      <c r="Z513" s="88"/>
      <c r="AB513" s="84"/>
      <c r="AF513" s="84"/>
      <c r="AL513" s="22"/>
    </row>
    <row r="514" spans="1:38">
      <c r="A514" s="88" t="s">
        <v>635</v>
      </c>
      <c r="B514" s="84"/>
      <c r="C514" s="84"/>
      <c r="D514" s="84"/>
      <c r="E514" s="84"/>
      <c r="F514" s="84"/>
      <c r="G514" s="92"/>
      <c r="H514" s="84"/>
      <c r="I514" s="88"/>
      <c r="J514" s="84"/>
      <c r="K514" s="84"/>
      <c r="L514" s="84"/>
      <c r="M514" s="84"/>
      <c r="N514" s="84"/>
      <c r="O514" s="84">
        <f t="shared" ca="1" si="24"/>
        <v>0</v>
      </c>
      <c r="P514" s="84">
        <v>509223</v>
      </c>
      <c r="Q514" s="84"/>
      <c r="S514" s="84"/>
      <c r="T514" s="84"/>
      <c r="W514" s="92"/>
      <c r="Z514" s="88"/>
      <c r="AB514" s="84"/>
      <c r="AF514" s="84"/>
      <c r="AL514" s="22"/>
    </row>
    <row r="515" spans="1:38">
      <c r="A515" s="94" t="s">
        <v>151</v>
      </c>
      <c r="B515" s="91">
        <f t="shared" ref="B515:J515" si="25">SUM(B500:B514)</f>
        <v>3782087.5</v>
      </c>
      <c r="C515" s="94">
        <f t="shared" si="25"/>
        <v>442385</v>
      </c>
      <c r="D515" s="94">
        <f t="shared" si="25"/>
        <v>746004</v>
      </c>
      <c r="E515" s="94">
        <f t="shared" si="25"/>
        <v>6699325.75</v>
      </c>
      <c r="F515" s="94">
        <f t="shared" si="25"/>
        <v>1002266</v>
      </c>
      <c r="G515" s="94">
        <f t="shared" si="25"/>
        <v>2286729.8100000005</v>
      </c>
      <c r="H515" s="94">
        <f t="shared" si="25"/>
        <v>2209238</v>
      </c>
      <c r="I515" s="94">
        <f t="shared" si="25"/>
        <v>2636343</v>
      </c>
      <c r="J515" s="91">
        <f t="shared" si="25"/>
        <v>12453831.68</v>
      </c>
      <c r="K515" s="91">
        <f>SUM(K500:K513)</f>
        <v>1880056.44</v>
      </c>
      <c r="L515" s="91">
        <f>SUM(L500:L513)</f>
        <v>4035263</v>
      </c>
      <c r="M515" s="91">
        <f>SUM(M500:M514)</f>
        <v>1725234</v>
      </c>
      <c r="N515" s="91">
        <f>SUM(N500:N514)</f>
        <v>4919557.5999999996</v>
      </c>
      <c r="O515" s="91">
        <f ca="1">SUM(O500:O514)</f>
        <v>44818321.780000001</v>
      </c>
      <c r="P515" s="91">
        <f>SUM(P500:P514)</f>
        <v>42209901.780000001</v>
      </c>
      <c r="Q515" s="94"/>
      <c r="S515" s="91"/>
      <c r="T515" s="91"/>
      <c r="W515" s="94"/>
      <c r="Z515" s="94"/>
      <c r="AB515" s="91"/>
      <c r="AF515" s="91"/>
      <c r="AL515" s="22"/>
    </row>
    <row r="516" spans="1:38">
      <c r="A516" s="88"/>
      <c r="B516" s="84"/>
      <c r="C516" s="84"/>
      <c r="D516" s="84"/>
      <c r="E516" s="84"/>
      <c r="F516" s="84"/>
      <c r="G516" s="92"/>
      <c r="H516" s="84"/>
      <c r="I516" s="88"/>
      <c r="J516" s="84"/>
      <c r="K516" s="84"/>
      <c r="L516" s="84"/>
      <c r="M516" s="84"/>
      <c r="N516" s="84"/>
      <c r="O516" s="84"/>
      <c r="P516" s="84"/>
      <c r="Q516" s="84"/>
      <c r="S516" s="84"/>
      <c r="T516" s="84"/>
      <c r="W516" s="92"/>
      <c r="Z516" s="88"/>
      <c r="AB516" s="84"/>
      <c r="AF516" s="84"/>
      <c r="AL516" s="22"/>
    </row>
    <row r="517" spans="1:38">
      <c r="A517" s="154" t="s">
        <v>447</v>
      </c>
      <c r="B517" s="84"/>
      <c r="C517" s="84"/>
      <c r="D517" s="84"/>
      <c r="E517" s="84"/>
      <c r="F517" s="84"/>
      <c r="G517" s="92"/>
      <c r="H517" s="84"/>
      <c r="I517" s="88"/>
      <c r="J517" s="84"/>
      <c r="K517" s="84"/>
      <c r="L517" s="84"/>
      <c r="M517" s="84"/>
      <c r="N517" s="84"/>
      <c r="O517" s="84"/>
      <c r="P517" s="84"/>
      <c r="Q517" s="84"/>
      <c r="S517" s="84"/>
      <c r="T517" s="84"/>
      <c r="W517" s="92"/>
      <c r="Z517" s="88"/>
      <c r="AB517" s="84"/>
      <c r="AF517" s="84"/>
      <c r="AL517" s="22"/>
    </row>
    <row r="518" spans="1:38">
      <c r="A518" s="88" t="s">
        <v>139</v>
      </c>
      <c r="B518" s="84"/>
      <c r="C518" s="84">
        <v>0</v>
      </c>
      <c r="D518" s="84">
        <v>0</v>
      </c>
      <c r="E518" s="84">
        <v>45320180.189999998</v>
      </c>
      <c r="F518" s="84"/>
      <c r="G518" s="92"/>
      <c r="H518" s="84">
        <v>0</v>
      </c>
      <c r="I518" s="88"/>
      <c r="J518" s="84"/>
      <c r="K518" s="84"/>
      <c r="L518" s="84"/>
      <c r="M518" s="84"/>
      <c r="N518" s="84"/>
      <c r="O518" s="84">
        <f ca="1">SUM(B518:AB518)</f>
        <v>45320180.189999998</v>
      </c>
      <c r="P518" s="84">
        <v>91217935.189999998</v>
      </c>
      <c r="Q518" s="84"/>
      <c r="S518" s="84"/>
      <c r="T518" s="84"/>
      <c r="W518" s="92"/>
      <c r="Z518" s="88"/>
      <c r="AB518" s="84"/>
      <c r="AF518" s="84"/>
      <c r="AL518" s="22"/>
    </row>
    <row r="519" spans="1:38">
      <c r="A519" s="84" t="s">
        <v>553</v>
      </c>
      <c r="B519" s="84"/>
      <c r="C519" s="84">
        <v>0</v>
      </c>
      <c r="D519" s="84">
        <v>0</v>
      </c>
      <c r="E519" s="84">
        <v>51338000</v>
      </c>
      <c r="F519" s="84"/>
      <c r="G519" s="92"/>
      <c r="H519" s="84">
        <v>0</v>
      </c>
      <c r="I519" s="88">
        <v>0</v>
      </c>
      <c r="J519" s="84"/>
      <c r="K519" s="84"/>
      <c r="L519" s="84"/>
      <c r="M519" s="84"/>
      <c r="N519" s="84"/>
      <c r="O519" s="84">
        <f ca="1">SUM(B519:AB519)</f>
        <v>51338000</v>
      </c>
      <c r="P519" s="84">
        <v>33000000</v>
      </c>
      <c r="Q519" s="84"/>
      <c r="S519" s="84"/>
      <c r="T519" s="84"/>
      <c r="W519" s="92"/>
      <c r="Z519" s="88"/>
      <c r="AB519" s="84"/>
      <c r="AF519" s="84"/>
      <c r="AL519" s="22"/>
    </row>
    <row r="520" spans="1:38">
      <c r="A520" s="84" t="s">
        <v>448</v>
      </c>
      <c r="B520" s="84"/>
      <c r="C520" s="84">
        <v>0</v>
      </c>
      <c r="D520" s="84">
        <v>0</v>
      </c>
      <c r="E520" s="84">
        <v>0</v>
      </c>
      <c r="F520" s="84"/>
      <c r="G520" s="92"/>
      <c r="H520" s="84">
        <v>0</v>
      </c>
      <c r="I520" s="88">
        <v>0</v>
      </c>
      <c r="J520" s="84"/>
      <c r="K520" s="84"/>
      <c r="L520" s="84"/>
      <c r="M520" s="84"/>
      <c r="N520" s="84"/>
      <c r="O520" s="84">
        <f ca="1">SUM(B520:AB520)</f>
        <v>0</v>
      </c>
      <c r="P520" s="84">
        <v>-72444755</v>
      </c>
      <c r="Q520" s="84"/>
      <c r="S520" s="84"/>
      <c r="T520" s="84"/>
      <c r="W520" s="92"/>
      <c r="Z520" s="88"/>
      <c r="AB520" s="84"/>
      <c r="AF520" s="84"/>
      <c r="AL520" s="22"/>
    </row>
    <row r="521" spans="1:38">
      <c r="A521" s="84" t="s">
        <v>449</v>
      </c>
      <c r="B521" s="84"/>
      <c r="C521" s="84">
        <v>0</v>
      </c>
      <c r="D521" s="84">
        <v>0</v>
      </c>
      <c r="E521" s="84">
        <v>0</v>
      </c>
      <c r="F521" s="84"/>
      <c r="G521" s="92"/>
      <c r="H521" s="84"/>
      <c r="I521" s="88"/>
      <c r="J521" s="84"/>
      <c r="K521" s="84"/>
      <c r="L521" s="84"/>
      <c r="M521" s="84"/>
      <c r="N521" s="84"/>
      <c r="O521" s="84">
        <f ca="1">SUM(B521:AB521)</f>
        <v>0</v>
      </c>
      <c r="P521" s="84">
        <v>-6453000</v>
      </c>
      <c r="Q521" s="84"/>
      <c r="S521" s="84"/>
      <c r="T521" s="84"/>
      <c r="W521" s="92"/>
      <c r="Z521" s="88"/>
      <c r="AB521" s="84"/>
      <c r="AF521" s="84"/>
      <c r="AL521" s="22"/>
    </row>
    <row r="522" spans="1:38">
      <c r="A522" s="94" t="s">
        <v>151</v>
      </c>
      <c r="B522" s="91"/>
      <c r="C522" s="91">
        <f>SUM(C518:C521)</f>
        <v>0</v>
      </c>
      <c r="D522" s="91">
        <f>SUM(D518:D521)</f>
        <v>0</v>
      </c>
      <c r="E522" s="91">
        <f>SUM(E518:E521)</f>
        <v>96658180.189999998</v>
      </c>
      <c r="F522" s="91"/>
      <c r="G522" s="93"/>
      <c r="H522" s="91">
        <v>0</v>
      </c>
      <c r="I522" s="94"/>
      <c r="J522" s="91"/>
      <c r="K522" s="91"/>
      <c r="L522" s="91"/>
      <c r="M522" s="91"/>
      <c r="N522" s="91"/>
      <c r="O522" s="91">
        <f ca="1">SUM(B522:AB522)</f>
        <v>96658180.189999998</v>
      </c>
      <c r="P522" s="91">
        <f>SUM(P518:P521)</f>
        <v>45320180.189999998</v>
      </c>
      <c r="Q522" s="91"/>
      <c r="S522" s="91"/>
      <c r="T522" s="91"/>
      <c r="W522" s="93"/>
      <c r="Z522" s="94"/>
      <c r="AB522" s="91"/>
      <c r="AF522" s="91"/>
      <c r="AL522" s="22"/>
    </row>
    <row r="523" spans="1:38">
      <c r="A523" s="94"/>
      <c r="B523" s="84"/>
      <c r="C523" s="84"/>
      <c r="D523" s="84"/>
      <c r="E523" s="84"/>
      <c r="F523" s="84"/>
      <c r="G523" s="93"/>
      <c r="H523" s="84"/>
      <c r="I523" s="94"/>
      <c r="J523" s="84"/>
      <c r="K523" s="84"/>
      <c r="L523" s="84"/>
      <c r="M523" s="84"/>
      <c r="N523" s="84"/>
      <c r="O523" s="84"/>
      <c r="P523" s="84"/>
      <c r="Q523" s="84"/>
      <c r="S523" s="84"/>
      <c r="T523" s="84"/>
      <c r="W523" s="93"/>
      <c r="Z523" s="94"/>
      <c r="AB523" s="84"/>
      <c r="AF523" s="84"/>
      <c r="AL523" s="22"/>
    </row>
    <row r="524" spans="1:38">
      <c r="A524" s="154" t="s">
        <v>450</v>
      </c>
      <c r="B524" s="84"/>
      <c r="C524" s="84"/>
      <c r="D524" s="84"/>
      <c r="E524" s="84"/>
      <c r="F524" s="84"/>
      <c r="G524" s="92"/>
      <c r="H524" s="84"/>
      <c r="I524" s="88"/>
      <c r="J524" s="84"/>
      <c r="K524" s="84"/>
      <c r="L524" s="84"/>
      <c r="M524" s="84"/>
      <c r="N524" s="84"/>
      <c r="O524" s="84"/>
      <c r="P524" s="84"/>
      <c r="Q524" s="84"/>
      <c r="S524" s="84"/>
      <c r="T524" s="84"/>
      <c r="W524" s="92"/>
      <c r="Z524" s="88"/>
      <c r="AB524" s="84"/>
      <c r="AF524" s="84"/>
      <c r="AL524" s="22"/>
    </row>
    <row r="525" spans="1:38">
      <c r="A525" s="88" t="s">
        <v>133</v>
      </c>
      <c r="B525" s="84">
        <v>1877147</v>
      </c>
      <c r="C525" s="84">
        <v>0</v>
      </c>
      <c r="D525" s="84">
        <v>2124000</v>
      </c>
      <c r="E525" s="84">
        <v>0</v>
      </c>
      <c r="F525" s="84"/>
      <c r="G525" s="92">
        <v>2479357.9399999995</v>
      </c>
      <c r="H525" s="84">
        <v>1441390</v>
      </c>
      <c r="I525" s="88">
        <v>2562462</v>
      </c>
      <c r="J525" s="84"/>
      <c r="K525" s="84"/>
      <c r="L525" s="84"/>
      <c r="M525" s="84"/>
      <c r="N525" s="84">
        <v>100000</v>
      </c>
      <c r="O525" s="84">
        <f t="shared" ref="O525:O532" ca="1" si="26">SUM(B525:AB525)</f>
        <v>10584356.939999999</v>
      </c>
      <c r="P525" s="84">
        <v>15784608.939999999</v>
      </c>
      <c r="Q525" s="84"/>
      <c r="S525" s="84"/>
      <c r="T525" s="84"/>
      <c r="W525" s="92"/>
      <c r="Z525" s="88"/>
      <c r="AB525" s="84"/>
      <c r="AF525" s="84"/>
      <c r="AL525" s="22"/>
    </row>
    <row r="526" spans="1:38">
      <c r="A526" s="88" t="s">
        <v>367</v>
      </c>
      <c r="B526" s="84"/>
      <c r="C526" s="84"/>
      <c r="D526" s="84"/>
      <c r="E526" s="84"/>
      <c r="F526" s="84"/>
      <c r="G526" s="92"/>
      <c r="H526" s="84"/>
      <c r="I526" s="88"/>
      <c r="J526" s="84"/>
      <c r="K526" s="84"/>
      <c r="L526" s="84"/>
      <c r="M526" s="84"/>
      <c r="N526" s="84"/>
      <c r="O526" s="84">
        <f t="shared" ca="1" si="26"/>
        <v>0</v>
      </c>
      <c r="P526" s="84">
        <v>-1724000</v>
      </c>
      <c r="Q526" s="84"/>
      <c r="S526" s="84"/>
      <c r="T526" s="84"/>
      <c r="W526" s="92"/>
      <c r="Z526" s="88"/>
      <c r="AB526" s="84"/>
      <c r="AF526" s="84"/>
      <c r="AL526" s="22"/>
    </row>
    <row r="527" spans="1:38">
      <c r="A527" s="88" t="s">
        <v>365</v>
      </c>
      <c r="B527" s="84">
        <v>0</v>
      </c>
      <c r="C527" s="84"/>
      <c r="D527" s="84">
        <v>0</v>
      </c>
      <c r="E527" s="84"/>
      <c r="F527" s="84"/>
      <c r="G527" s="92"/>
      <c r="H527" s="84"/>
      <c r="I527" s="88">
        <v>0</v>
      </c>
      <c r="J527" s="84"/>
      <c r="K527" s="84"/>
      <c r="L527" s="84"/>
      <c r="M527" s="84"/>
      <c r="N527" s="84"/>
      <c r="O527" s="84">
        <f t="shared" ca="1" si="26"/>
        <v>0</v>
      </c>
      <c r="P527" s="84">
        <v>235000</v>
      </c>
      <c r="Q527" s="84"/>
      <c r="S527" s="84"/>
      <c r="T527" s="84"/>
      <c r="W527" s="92"/>
      <c r="Z527" s="88"/>
      <c r="AB527" s="84"/>
      <c r="AF527" s="84"/>
      <c r="AL527" s="22"/>
    </row>
    <row r="528" spans="1:38">
      <c r="A528" s="88" t="s">
        <v>365</v>
      </c>
      <c r="B528" s="84"/>
      <c r="C528" s="84"/>
      <c r="D528" s="84"/>
      <c r="E528" s="84"/>
      <c r="F528" s="84"/>
      <c r="G528" s="92"/>
      <c r="H528" s="84"/>
      <c r="I528" s="88"/>
      <c r="J528" s="84"/>
      <c r="K528" s="84"/>
      <c r="L528" s="84"/>
      <c r="M528" s="84"/>
      <c r="N528" s="84"/>
      <c r="O528" s="84">
        <f t="shared" ca="1" si="26"/>
        <v>0</v>
      </c>
      <c r="P528" s="84">
        <v>1724000</v>
      </c>
      <c r="Q528" s="84"/>
      <c r="S528" s="84"/>
      <c r="T528" s="84"/>
      <c r="W528" s="92"/>
      <c r="Z528" s="88"/>
      <c r="AB528" s="84"/>
      <c r="AF528" s="84"/>
      <c r="AL528" s="22"/>
    </row>
    <row r="529" spans="1:38">
      <c r="A529" s="88" t="s">
        <v>556</v>
      </c>
      <c r="B529" s="84">
        <v>302539</v>
      </c>
      <c r="C529" s="84"/>
      <c r="D529" s="84">
        <v>250000</v>
      </c>
      <c r="E529" s="84"/>
      <c r="F529" s="84"/>
      <c r="G529" s="92">
        <v>1252546</v>
      </c>
      <c r="H529" s="84">
        <v>205200</v>
      </c>
      <c r="I529" s="88">
        <v>0</v>
      </c>
      <c r="J529" s="84"/>
      <c r="K529" s="84"/>
      <c r="L529" s="84"/>
      <c r="M529" s="84"/>
      <c r="N529" s="84">
        <v>0</v>
      </c>
      <c r="O529" s="84">
        <f t="shared" ca="1" si="26"/>
        <v>2010285</v>
      </c>
      <c r="P529" s="84">
        <v>3493800</v>
      </c>
      <c r="Q529" s="84"/>
      <c r="S529" s="84"/>
      <c r="T529" s="84"/>
      <c r="W529" s="92"/>
      <c r="Z529" s="88"/>
      <c r="AB529" s="84"/>
      <c r="AF529" s="84"/>
      <c r="AL529" s="22"/>
    </row>
    <row r="530" spans="1:38">
      <c r="A530" s="88" t="s">
        <v>640</v>
      </c>
      <c r="B530" s="84">
        <v>-123980</v>
      </c>
      <c r="C530" s="84"/>
      <c r="D530" s="84"/>
      <c r="E530" s="84"/>
      <c r="F530" s="84"/>
      <c r="G530" s="92"/>
      <c r="H530" s="84"/>
      <c r="I530" s="88"/>
      <c r="J530" s="84"/>
      <c r="K530" s="84"/>
      <c r="L530" s="84"/>
      <c r="M530" s="84"/>
      <c r="N530" s="84"/>
      <c r="O530" s="84">
        <f t="shared" ca="1" si="26"/>
        <v>-123980</v>
      </c>
      <c r="P530" s="84"/>
      <c r="Q530" s="84"/>
      <c r="S530" s="84"/>
      <c r="T530" s="84"/>
      <c r="W530" s="92"/>
      <c r="Z530" s="88"/>
      <c r="AB530" s="84"/>
      <c r="AF530" s="84"/>
      <c r="AL530" s="22"/>
    </row>
    <row r="531" spans="1:38">
      <c r="A531" s="88" t="s">
        <v>367</v>
      </c>
      <c r="B531" s="84">
        <v>0</v>
      </c>
      <c r="C531" s="84"/>
      <c r="D531" s="84"/>
      <c r="E531" s="84"/>
      <c r="F531" s="84"/>
      <c r="G531" s="92"/>
      <c r="H531" s="84"/>
      <c r="I531" s="88"/>
      <c r="J531" s="84"/>
      <c r="K531" s="84"/>
      <c r="L531" s="84"/>
      <c r="M531" s="84"/>
      <c r="N531" s="84"/>
      <c r="O531" s="84">
        <f t="shared" ca="1" si="26"/>
        <v>0</v>
      </c>
      <c r="P531" s="84">
        <v>-235000</v>
      </c>
      <c r="Q531" s="84"/>
      <c r="S531" s="84"/>
      <c r="T531" s="84"/>
      <c r="W531" s="92"/>
      <c r="Z531" s="88"/>
      <c r="AB531" s="84"/>
      <c r="AF531" s="84"/>
      <c r="AL531" s="22"/>
    </row>
    <row r="532" spans="1:38">
      <c r="A532" s="88" t="s">
        <v>557</v>
      </c>
      <c r="B532" s="84">
        <v>-431198</v>
      </c>
      <c r="C532" s="84">
        <v>0</v>
      </c>
      <c r="D532" s="84">
        <v>-505000</v>
      </c>
      <c r="E532" s="84">
        <v>0</v>
      </c>
      <c r="F532" s="84"/>
      <c r="G532" s="92">
        <v>-2202984</v>
      </c>
      <c r="H532" s="84">
        <v>0</v>
      </c>
      <c r="I532" s="88">
        <v>0</v>
      </c>
      <c r="J532" s="84"/>
      <c r="K532" s="84"/>
      <c r="L532" s="84"/>
      <c r="M532" s="84"/>
      <c r="N532" s="84">
        <v>0</v>
      </c>
      <c r="O532" s="84">
        <f t="shared" ca="1" si="26"/>
        <v>-3139182</v>
      </c>
      <c r="P532" s="84">
        <v>-8694052</v>
      </c>
      <c r="Q532" s="84"/>
      <c r="S532" s="84"/>
      <c r="T532" s="84"/>
      <c r="W532" s="92"/>
      <c r="Z532" s="88"/>
      <c r="AB532" s="84"/>
      <c r="AF532" s="84"/>
      <c r="AL532" s="22"/>
    </row>
    <row r="533" spans="1:38">
      <c r="A533" s="94" t="s">
        <v>151</v>
      </c>
      <c r="B533" s="91">
        <f>SUM(B525:B532)</f>
        <v>1624508</v>
      </c>
      <c r="C533" s="91">
        <v>0</v>
      </c>
      <c r="D533" s="91">
        <f>SUM(D525:D532)</f>
        <v>1869000</v>
      </c>
      <c r="E533" s="91">
        <v>0</v>
      </c>
      <c r="F533" s="91"/>
      <c r="G533" s="94">
        <f>SUM(G525:G532)</f>
        <v>1528919.9399999995</v>
      </c>
      <c r="H533" s="91">
        <f>+H532+H529+H525</f>
        <v>1646590</v>
      </c>
      <c r="I533" s="94">
        <f>SUM(I525:I532)</f>
        <v>2562462</v>
      </c>
      <c r="J533" s="91"/>
      <c r="K533" s="91"/>
      <c r="L533" s="91"/>
      <c r="M533" s="91"/>
      <c r="N533" s="91">
        <f>SUM(N525:N532)</f>
        <v>100000</v>
      </c>
      <c r="O533" s="91">
        <f ca="1">SUM(O525:O532)</f>
        <v>9331479.9399999995</v>
      </c>
      <c r="P533" s="91">
        <f>SUM(P525:P532)</f>
        <v>10584356.939999998</v>
      </c>
      <c r="Q533" s="91"/>
      <c r="S533" s="91"/>
      <c r="T533" s="91"/>
      <c r="W533" s="94"/>
      <c r="Z533" s="94"/>
      <c r="AB533" s="91"/>
      <c r="AF533" s="91"/>
      <c r="AL533" s="22"/>
    </row>
    <row r="534" spans="1:38">
      <c r="A534" s="88"/>
      <c r="B534" s="84"/>
      <c r="C534" s="84"/>
      <c r="D534" s="84"/>
      <c r="E534" s="84"/>
      <c r="F534" s="84"/>
      <c r="G534" s="92"/>
      <c r="H534" s="84"/>
      <c r="I534" s="88" t="s">
        <v>544</v>
      </c>
      <c r="J534" s="84"/>
      <c r="K534" s="84"/>
      <c r="L534" s="84"/>
      <c r="M534" s="84"/>
      <c r="N534" s="84"/>
      <c r="O534" s="84"/>
      <c r="P534" s="84"/>
      <c r="Q534" s="84"/>
      <c r="S534" s="84"/>
      <c r="T534" s="84"/>
      <c r="W534" s="92"/>
      <c r="Z534" s="88"/>
      <c r="AB534" s="84"/>
      <c r="AF534" s="84"/>
      <c r="AL534" s="22"/>
    </row>
    <row r="535" spans="1:38" ht="16.5" thickBot="1">
      <c r="A535" s="59" t="s">
        <v>597</v>
      </c>
      <c r="B535" s="37">
        <f>+B533+B515+B497</f>
        <v>10038097.5</v>
      </c>
      <c r="C535" s="37">
        <f>+C522+C515+C497+C487</f>
        <v>442385</v>
      </c>
      <c r="D535" s="37">
        <f>+D522+D515+D497+D487+D533</f>
        <v>2615004</v>
      </c>
      <c r="E535" s="37">
        <f>+E522+E515+E497+E487</f>
        <v>140285972.78999999</v>
      </c>
      <c r="F535" s="37">
        <f>+F533+F515+F497</f>
        <v>1002266</v>
      </c>
      <c r="G535" s="59">
        <f>+G497+G515+G533+G487</f>
        <v>5569223.75</v>
      </c>
      <c r="H535" s="37">
        <f>+H533+H515+H497</f>
        <v>3981464</v>
      </c>
      <c r="I535" s="59">
        <f>+I497+I515+I533+I487</f>
        <v>5233505</v>
      </c>
      <c r="J535" s="37">
        <f>+J515+J497+J487</f>
        <v>12453831.68</v>
      </c>
      <c r="K535" s="37">
        <f>+K533+K515+K497</f>
        <v>3426464.86</v>
      </c>
      <c r="L535" s="37">
        <f>+L533+L515+L497</f>
        <v>6167955</v>
      </c>
      <c r="M535" s="37">
        <f>+M515</f>
        <v>1725234</v>
      </c>
      <c r="N535" s="37">
        <f>+N533+N515+N497</f>
        <v>11049116.42</v>
      </c>
      <c r="O535" s="40">
        <f ca="1">SUM(B535:AB535)</f>
        <v>203990520</v>
      </c>
      <c r="P535" s="40">
        <f>+P487+P497+P515+P522+P533</f>
        <v>149387124.73000002</v>
      </c>
      <c r="Q535" s="37"/>
      <c r="S535" s="37"/>
      <c r="T535" s="37"/>
      <c r="W535" s="59"/>
      <c r="Z535" s="59"/>
      <c r="AB535" s="37"/>
      <c r="AF535" s="97"/>
      <c r="AL535" s="22"/>
    </row>
    <row r="536" spans="1:38" ht="13.5" thickTop="1">
      <c r="A536" s="12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103"/>
      <c r="AG536" s="103"/>
      <c r="AH536" s="103"/>
      <c r="AI536" s="22"/>
      <c r="AJ536" s="22"/>
      <c r="AK536" s="22"/>
      <c r="AL536" s="22"/>
    </row>
    <row r="537" spans="1:38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</row>
    <row r="538" spans="1: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</row>
    <row r="539" spans="1:38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</row>
    <row r="540" spans="1:38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</row>
    <row r="541" spans="1:38">
      <c r="A541" s="22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46"/>
      <c r="W541" s="46"/>
      <c r="AD541" s="46"/>
      <c r="AE541" s="46"/>
      <c r="AF541" s="46"/>
      <c r="AH541" s="46"/>
    </row>
    <row r="542" spans="1:38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46"/>
      <c r="W542" s="46"/>
      <c r="AD542" s="46"/>
      <c r="AE542" s="46"/>
      <c r="AF542" s="46"/>
      <c r="AH542" s="46"/>
    </row>
    <row r="543" spans="1:38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46"/>
      <c r="W543" s="46"/>
      <c r="AD543" s="46"/>
      <c r="AE543" s="46"/>
      <c r="AF543" s="46"/>
      <c r="AH543" s="46"/>
    </row>
    <row r="544" spans="1:38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46"/>
      <c r="W544" s="46"/>
      <c r="AD544" s="46"/>
      <c r="AE544" s="46"/>
      <c r="AF544" s="46"/>
      <c r="AH544" s="46"/>
    </row>
    <row r="545" spans="1:34">
      <c r="A545" s="30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AD545" s="46"/>
      <c r="AE545" s="46"/>
      <c r="AF545" s="46"/>
      <c r="AH545" s="46"/>
    </row>
    <row r="546" spans="1:34" ht="15.75">
      <c r="A546" s="12"/>
      <c r="B546" s="13"/>
      <c r="C546" s="37" t="s">
        <v>941</v>
      </c>
      <c r="D546" s="37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46"/>
      <c r="AF546" s="46"/>
      <c r="AH546" s="46"/>
    </row>
    <row r="547" spans="1:34">
      <c r="A547" s="108" t="s">
        <v>272</v>
      </c>
      <c r="B547" s="13"/>
      <c r="C547" s="13"/>
      <c r="D547" s="13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46"/>
      <c r="AF547" s="46"/>
      <c r="AH547" s="46"/>
    </row>
    <row r="548" spans="1:34">
      <c r="A548" s="108"/>
      <c r="B548" s="12"/>
      <c r="C548" s="12"/>
      <c r="D548" s="12"/>
      <c r="E548" s="12" t="s">
        <v>18</v>
      </c>
      <c r="F548" s="12"/>
      <c r="G548" s="12"/>
      <c r="H548" s="12"/>
      <c r="I548" s="12" t="s">
        <v>535</v>
      </c>
      <c r="J548" s="12"/>
      <c r="K548" s="12" t="s">
        <v>23</v>
      </c>
      <c r="L548" s="12"/>
      <c r="M548" s="12"/>
      <c r="N548" s="12"/>
      <c r="O548" s="12"/>
      <c r="P548" s="12"/>
      <c r="Q548" s="12"/>
      <c r="R548" s="12"/>
      <c r="S548" s="12" t="s">
        <v>389</v>
      </c>
      <c r="T548" s="12"/>
      <c r="U548" s="12" t="s">
        <v>437</v>
      </c>
      <c r="V548" s="12" t="s">
        <v>632</v>
      </c>
      <c r="W548" s="12" t="s">
        <v>22</v>
      </c>
      <c r="X548" s="12" t="s">
        <v>20</v>
      </c>
      <c r="Y548" s="12" t="s">
        <v>371</v>
      </c>
      <c r="Z548" s="12" t="s">
        <v>636</v>
      </c>
      <c r="AA548" s="12" t="s">
        <v>630</v>
      </c>
      <c r="AB548" s="12" t="s">
        <v>631</v>
      </c>
      <c r="AC548" s="12" t="s">
        <v>439</v>
      </c>
      <c r="AD548" s="12"/>
      <c r="AE548" s="46"/>
      <c r="AF548" s="46"/>
      <c r="AH548" s="46"/>
    </row>
    <row r="549" spans="1:34">
      <c r="A549" s="16"/>
      <c r="B549" s="74" t="s">
        <v>542</v>
      </c>
      <c r="C549" s="74" t="s">
        <v>543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46"/>
      <c r="AF549" s="46"/>
      <c r="AH549" s="46"/>
    </row>
    <row r="550" spans="1:34">
      <c r="A550" s="16" t="s">
        <v>536</v>
      </c>
      <c r="B550" s="74" t="s">
        <v>83</v>
      </c>
      <c r="C550" s="74" t="s">
        <v>537</v>
      </c>
      <c r="D550" s="74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46"/>
      <c r="AF550" s="46"/>
      <c r="AH550" s="46"/>
    </row>
    <row r="551" spans="1:34">
      <c r="A551" s="12"/>
      <c r="B551" s="146"/>
      <c r="C551" s="146"/>
      <c r="D551" s="74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 t="s">
        <v>544</v>
      </c>
      <c r="AD551" s="12"/>
      <c r="AE551" s="46"/>
      <c r="AF551" s="46"/>
      <c r="AH551" s="46"/>
    </row>
    <row r="552" spans="1:34">
      <c r="A552" s="16" t="s">
        <v>980</v>
      </c>
      <c r="B552" s="146"/>
      <c r="C552" s="146"/>
      <c r="D552" s="146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 t="s">
        <v>544</v>
      </c>
      <c r="AD552" s="12"/>
      <c r="AE552" s="46"/>
      <c r="AF552" s="46"/>
      <c r="AH552" s="46"/>
    </row>
    <row r="553" spans="1:34">
      <c r="A553" s="24" t="s">
        <v>87</v>
      </c>
      <c r="B553" s="13">
        <f>+AC564</f>
        <v>681838048.38</v>
      </c>
      <c r="C553" s="60">
        <v>681838048.38</v>
      </c>
      <c r="D553" s="60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>
        <f>SUM(E553:AB553)</f>
        <v>0</v>
      </c>
      <c r="AD553" s="12"/>
      <c r="AE553" s="46"/>
      <c r="AF553" s="46"/>
      <c r="AH553" s="46"/>
    </row>
    <row r="554" spans="1:34">
      <c r="A554" s="60" t="s">
        <v>151</v>
      </c>
      <c r="B554" s="13">
        <f>+AC570</f>
        <v>681838048.38</v>
      </c>
      <c r="C554" s="60">
        <v>681838048.38</v>
      </c>
      <c r="D554" s="24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 t="s">
        <v>544</v>
      </c>
      <c r="AD554" s="12"/>
      <c r="AE554" s="46"/>
      <c r="AF554" s="46"/>
      <c r="AH554" s="46"/>
    </row>
    <row r="555" spans="1:34">
      <c r="D555" s="24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>
        <f>SUM(E555:AB555)</f>
        <v>0</v>
      </c>
      <c r="AD555" s="12"/>
      <c r="AE555" s="46"/>
      <c r="AF555" s="46"/>
      <c r="AH555" s="46"/>
    </row>
    <row r="556" spans="1:34">
      <c r="A556" s="16" t="s">
        <v>945</v>
      </c>
      <c r="B556" s="146"/>
      <c r="C556" s="146"/>
      <c r="D556" s="24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 t="s">
        <v>544</v>
      </c>
      <c r="AD556" s="12"/>
      <c r="AE556" s="46"/>
      <c r="AF556" s="46"/>
      <c r="AH556" s="46"/>
    </row>
    <row r="557" spans="1:34">
      <c r="A557" s="24" t="s">
        <v>87</v>
      </c>
      <c r="B557" s="13">
        <f>+AC574</f>
        <v>1024196.52</v>
      </c>
      <c r="C557" s="60">
        <v>1024196.52</v>
      </c>
      <c r="D557" s="24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>
        <f>SUM(E557:AB557)</f>
        <v>0</v>
      </c>
      <c r="AD557" s="12"/>
      <c r="AE557" s="46"/>
      <c r="AF557" s="46"/>
      <c r="AH557" s="46"/>
    </row>
    <row r="558" spans="1:34">
      <c r="A558" s="60" t="s">
        <v>151</v>
      </c>
      <c r="B558" s="13">
        <f>+AC582</f>
        <v>1024196.52</v>
      </c>
      <c r="C558" s="60">
        <v>1024196.52</v>
      </c>
      <c r="D558" s="24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>
        <f>SUM(E558:AB558)</f>
        <v>0</v>
      </c>
      <c r="AD558" s="12"/>
      <c r="AE558" s="46"/>
      <c r="AF558" s="46"/>
      <c r="AH558" s="46"/>
    </row>
    <row r="559" spans="1:34">
      <c r="D559" s="24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46"/>
      <c r="AF559" s="46"/>
      <c r="AH559" s="46"/>
    </row>
    <row r="560" spans="1:34">
      <c r="A560" s="66" t="s">
        <v>946</v>
      </c>
      <c r="B560" s="24"/>
      <c r="C560" s="24"/>
      <c r="D560" s="60"/>
      <c r="E560" s="60">
        <f t="shared" ref="E560:AC560" si="27">+E553+E555-E558</f>
        <v>0</v>
      </c>
      <c r="F560" s="60"/>
      <c r="G560" s="60"/>
      <c r="H560" s="60"/>
      <c r="I560" s="60">
        <f t="shared" si="27"/>
        <v>0</v>
      </c>
      <c r="J560" s="60"/>
      <c r="K560" s="60">
        <f t="shared" si="27"/>
        <v>0</v>
      </c>
      <c r="L560" s="60"/>
      <c r="M560" s="60"/>
      <c r="N560" s="60"/>
      <c r="O560" s="60"/>
      <c r="P560" s="60"/>
      <c r="Q560" s="60"/>
      <c r="R560" s="60"/>
      <c r="S560" s="60">
        <f t="shared" si="27"/>
        <v>0</v>
      </c>
      <c r="T560" s="60"/>
      <c r="U560" s="60">
        <f t="shared" si="27"/>
        <v>0</v>
      </c>
      <c r="V560" s="60">
        <f t="shared" si="27"/>
        <v>0</v>
      </c>
      <c r="W560" s="60">
        <f t="shared" si="27"/>
        <v>0</v>
      </c>
      <c r="X560" s="60">
        <f t="shared" si="27"/>
        <v>0</v>
      </c>
      <c r="Y560" s="60">
        <f t="shared" si="27"/>
        <v>0</v>
      </c>
      <c r="Z560" s="60">
        <f t="shared" si="27"/>
        <v>0</v>
      </c>
      <c r="AA560" s="60">
        <f t="shared" si="27"/>
        <v>0</v>
      </c>
      <c r="AB560" s="60">
        <f t="shared" si="27"/>
        <v>0</v>
      </c>
      <c r="AC560" s="60">
        <f t="shared" si="27"/>
        <v>0</v>
      </c>
      <c r="AD560" s="12"/>
      <c r="AE560" s="46"/>
      <c r="AF560" s="46"/>
      <c r="AH560" s="46"/>
    </row>
    <row r="561" spans="1:34">
      <c r="A561" s="24" t="s">
        <v>86</v>
      </c>
      <c r="B561" s="13">
        <f>C564</f>
        <v>-406712.4</v>
      </c>
      <c r="C561" s="60">
        <v>-406712.4</v>
      </c>
      <c r="D561" s="60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46"/>
      <c r="AF561" s="46"/>
      <c r="AH561" s="46"/>
    </row>
    <row r="562" spans="1:34">
      <c r="A562" s="24" t="s">
        <v>727</v>
      </c>
      <c r="B562" s="12">
        <v>-29600</v>
      </c>
      <c r="C562" s="24">
        <v>0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 t="s">
        <v>544</v>
      </c>
      <c r="AD562" s="12"/>
      <c r="AE562" s="46"/>
      <c r="AF562" s="46"/>
      <c r="AH562" s="46"/>
    </row>
    <row r="563" spans="1:34">
      <c r="A563" s="24" t="s">
        <v>451</v>
      </c>
      <c r="B563" s="12">
        <v>-1800</v>
      </c>
      <c r="C563" s="24">
        <v>0</v>
      </c>
      <c r="D563" s="146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 t="s">
        <v>544</v>
      </c>
      <c r="AD563" s="12"/>
      <c r="AE563" s="46"/>
      <c r="AF563" s="46"/>
      <c r="AH563" s="46"/>
    </row>
    <row r="564" spans="1:34">
      <c r="A564" s="60" t="s">
        <v>151</v>
      </c>
      <c r="B564" s="13">
        <f>+AC592</f>
        <v>-438112.4</v>
      </c>
      <c r="C564" s="60">
        <v>-406712.4</v>
      </c>
      <c r="D564" s="60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>
        <v>668838048.38</v>
      </c>
      <c r="W564" s="12"/>
      <c r="X564" s="12"/>
      <c r="Y564" s="12"/>
      <c r="Z564" s="12"/>
      <c r="AA564" s="12">
        <v>13000000</v>
      </c>
      <c r="AB564" s="12"/>
      <c r="AC564" s="12">
        <f>SUM(E564:AB564)</f>
        <v>681838048.38</v>
      </c>
      <c r="AD564" s="12"/>
      <c r="AE564" s="46"/>
      <c r="AF564" s="46"/>
      <c r="AH564" s="46"/>
    </row>
    <row r="565" spans="1:34">
      <c r="D565" s="24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 t="s">
        <v>544</v>
      </c>
      <c r="AD565" s="12"/>
      <c r="AE565" s="46"/>
      <c r="AF565" s="46"/>
      <c r="AH565" s="46"/>
    </row>
    <row r="566" spans="1:34">
      <c r="A566" s="66" t="s">
        <v>947</v>
      </c>
      <c r="B566" s="24"/>
      <c r="C566" s="24"/>
      <c r="D566" s="24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>
        <v>0</v>
      </c>
      <c r="W566" s="12"/>
      <c r="X566" s="12"/>
      <c r="Y566" s="12"/>
      <c r="Z566" s="12"/>
      <c r="AA566" s="12"/>
      <c r="AB566" s="12"/>
      <c r="AC566" s="12">
        <f>SUM(E566:AB566)</f>
        <v>0</v>
      </c>
      <c r="AD566" s="12"/>
      <c r="AE566" s="46"/>
      <c r="AF566" s="46"/>
      <c r="AH566" s="46"/>
    </row>
    <row r="567" spans="1:34">
      <c r="A567" s="24" t="s">
        <v>86</v>
      </c>
      <c r="B567" s="13">
        <f>AC596</f>
        <v>86666996.469999999</v>
      </c>
      <c r="C567" s="60">
        <v>69379107</v>
      </c>
      <c r="D567" s="24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>
        <f>SUM(E567:AB567)</f>
        <v>0</v>
      </c>
      <c r="AD567" s="12"/>
      <c r="AE567" s="46"/>
      <c r="AF567" s="46"/>
      <c r="AH567" s="46"/>
    </row>
    <row r="568" spans="1:34">
      <c r="A568" s="24" t="s">
        <v>452</v>
      </c>
      <c r="B568" s="12">
        <f>AC597</f>
        <v>169435417</v>
      </c>
      <c r="C568" s="24">
        <v>155821498.47</v>
      </c>
      <c r="D568" s="24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 t="s">
        <v>544</v>
      </c>
      <c r="AD568" s="12"/>
      <c r="AE568" s="46"/>
      <c r="AF568" s="46"/>
      <c r="AH568" s="46"/>
    </row>
    <row r="569" spans="1:34">
      <c r="A569" s="24" t="s">
        <v>453</v>
      </c>
      <c r="B569" s="12">
        <f>AC598</f>
        <v>190810535</v>
      </c>
      <c r="C569" s="24">
        <v>138533609</v>
      </c>
      <c r="D569" s="24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 t="s">
        <v>544</v>
      </c>
      <c r="AD569" s="12"/>
      <c r="AE569" s="46"/>
      <c r="AF569" s="46"/>
      <c r="AH569" s="46"/>
    </row>
    <row r="570" spans="1:34">
      <c r="A570" s="60" t="s">
        <v>151</v>
      </c>
      <c r="B570" s="13">
        <f>+AC600</f>
        <v>65291878.469999999</v>
      </c>
      <c r="C570" s="60">
        <v>86666996.469999999</v>
      </c>
      <c r="D570" s="60"/>
      <c r="E570" s="60">
        <f t="shared" ref="E570:AC570" si="28">SUM(E564:E569)</f>
        <v>0</v>
      </c>
      <c r="F570" s="60"/>
      <c r="G570" s="60"/>
      <c r="H570" s="60"/>
      <c r="I570" s="60">
        <f t="shared" si="28"/>
        <v>0</v>
      </c>
      <c r="J570" s="60"/>
      <c r="K570" s="60">
        <f t="shared" si="28"/>
        <v>0</v>
      </c>
      <c r="L570" s="60"/>
      <c r="M570" s="60"/>
      <c r="N570" s="60"/>
      <c r="O570" s="60"/>
      <c r="P570" s="60"/>
      <c r="Q570" s="60"/>
      <c r="R570" s="60"/>
      <c r="S570" s="60">
        <f t="shared" si="28"/>
        <v>0</v>
      </c>
      <c r="T570" s="60"/>
      <c r="U570" s="60">
        <f t="shared" si="28"/>
        <v>0</v>
      </c>
      <c r="V570" s="60">
        <f t="shared" si="28"/>
        <v>668838048.38</v>
      </c>
      <c r="W570" s="60">
        <f t="shared" si="28"/>
        <v>0</v>
      </c>
      <c r="X570" s="60">
        <f t="shared" si="28"/>
        <v>0</v>
      </c>
      <c r="Y570" s="60">
        <f t="shared" si="28"/>
        <v>0</v>
      </c>
      <c r="Z570" s="60">
        <f t="shared" si="28"/>
        <v>0</v>
      </c>
      <c r="AA570" s="60">
        <f t="shared" si="28"/>
        <v>13000000</v>
      </c>
      <c r="AB570" s="60">
        <f t="shared" si="28"/>
        <v>0</v>
      </c>
      <c r="AC570" s="60">
        <f t="shared" si="28"/>
        <v>681838048.38</v>
      </c>
      <c r="AD570" s="12"/>
      <c r="AE570" s="46"/>
      <c r="AF570" s="46"/>
      <c r="AH570" s="46"/>
    </row>
    <row r="571" spans="1:34">
      <c r="D571" s="24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46"/>
      <c r="AF571" s="46"/>
      <c r="AH571" s="46"/>
    </row>
    <row r="572" spans="1:34">
      <c r="A572" s="66" t="s">
        <v>455</v>
      </c>
      <c r="B572" s="24"/>
      <c r="C572" s="24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 t="s">
        <v>544</v>
      </c>
      <c r="AD572" s="12"/>
      <c r="AE572" s="46"/>
      <c r="AF572" s="46"/>
      <c r="AH572" s="46"/>
    </row>
    <row r="573" spans="1:34">
      <c r="A573" s="24" t="s">
        <v>86</v>
      </c>
      <c r="B573" s="13">
        <f>AC604</f>
        <v>74035896</v>
      </c>
      <c r="C573" s="60">
        <v>69487711</v>
      </c>
      <c r="D573" s="146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 t="s">
        <v>544</v>
      </c>
      <c r="AD573" s="12"/>
      <c r="AE573" s="46"/>
      <c r="AF573" s="46"/>
      <c r="AH573" s="46"/>
    </row>
    <row r="574" spans="1:34">
      <c r="A574" s="24" t="s">
        <v>457</v>
      </c>
      <c r="B574" s="12">
        <f>AC606</f>
        <v>8417944</v>
      </c>
      <c r="C574" s="24">
        <v>3816595</v>
      </c>
      <c r="D574" s="60"/>
      <c r="E574" s="12">
        <v>804441.52</v>
      </c>
      <c r="F574" s="12"/>
      <c r="G574" s="12"/>
      <c r="H574" s="12"/>
      <c r="I574" s="12">
        <v>117</v>
      </c>
      <c r="J574" s="12"/>
      <c r="K574" s="12">
        <v>20027</v>
      </c>
      <c r="L574" s="12"/>
      <c r="M574" s="12"/>
      <c r="N574" s="12"/>
      <c r="O574" s="12"/>
      <c r="P574" s="12"/>
      <c r="Q574" s="12"/>
      <c r="R574" s="12"/>
      <c r="S574" s="12">
        <v>10343</v>
      </c>
      <c r="T574" s="12"/>
      <c r="U574" s="12"/>
      <c r="V574" s="12"/>
      <c r="W574" s="12">
        <v>0</v>
      </c>
      <c r="X574" s="12"/>
      <c r="Y574" s="12"/>
      <c r="Z574" s="12"/>
      <c r="AA574" s="12">
        <v>189268</v>
      </c>
      <c r="AB574" s="12"/>
      <c r="AC574" s="12">
        <f>SUM(E574:AB574)</f>
        <v>1024196.52</v>
      </c>
      <c r="AD574" s="12"/>
      <c r="AE574" s="46"/>
      <c r="AF574" s="46"/>
      <c r="AH574" s="46"/>
    </row>
    <row r="575" spans="1:34">
      <c r="A575" s="24" t="s">
        <v>458</v>
      </c>
      <c r="B575" s="12">
        <f>AC607</f>
        <v>1402197</v>
      </c>
      <c r="C575" s="24">
        <v>731590</v>
      </c>
      <c r="D575" s="24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 t="s">
        <v>544</v>
      </c>
      <c r="AD575" s="12"/>
      <c r="AE575" s="46"/>
      <c r="AF575" s="46"/>
      <c r="AH575" s="46"/>
    </row>
    <row r="576" spans="1:34">
      <c r="A576" s="60" t="s">
        <v>151</v>
      </c>
      <c r="B576" s="13">
        <f>AC608</f>
        <v>83856037</v>
      </c>
      <c r="C576" s="60">
        <v>74035896</v>
      </c>
      <c r="D576" s="24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>
        <v>0</v>
      </c>
      <c r="T576" s="12"/>
      <c r="U576" s="12"/>
      <c r="V576" s="12"/>
      <c r="W576" s="12">
        <v>0</v>
      </c>
      <c r="X576" s="12"/>
      <c r="Y576" s="12"/>
      <c r="Z576" s="12"/>
      <c r="AA576" s="12"/>
      <c r="AB576" s="12"/>
      <c r="AC576" s="12">
        <f>SUM(E576:AB576)</f>
        <v>0</v>
      </c>
      <c r="AD576" s="12"/>
      <c r="AE576" s="46"/>
      <c r="AF576" s="46"/>
      <c r="AH576" s="46"/>
    </row>
    <row r="577" spans="1:34">
      <c r="D577" s="24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 t="s">
        <v>544</v>
      </c>
      <c r="AD577" s="12"/>
      <c r="AE577" s="46"/>
      <c r="AF577" s="46"/>
      <c r="AH577" s="46"/>
    </row>
    <row r="578" spans="1:34" ht="13.5" thickBot="1">
      <c r="A578" s="13" t="s">
        <v>597</v>
      </c>
      <c r="B578" s="81">
        <f>B554+B558+B564+B570+B576</f>
        <v>831572047.97000003</v>
      </c>
      <c r="C578" s="81">
        <f>C554+C558+C564+C570+C576</f>
        <v>843158424.97000003</v>
      </c>
      <c r="D578" s="24"/>
      <c r="E578" s="12">
        <v>0</v>
      </c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>
        <v>0</v>
      </c>
      <c r="T578" s="12"/>
      <c r="U578" s="12"/>
      <c r="V578" s="12"/>
      <c r="W578" s="12">
        <v>0</v>
      </c>
      <c r="X578" s="12"/>
      <c r="Y578" s="12"/>
      <c r="Z578" s="12"/>
      <c r="AA578" s="12">
        <v>0</v>
      </c>
      <c r="AB578" s="12"/>
      <c r="AC578" s="12">
        <v>0</v>
      </c>
      <c r="AD578" s="12"/>
      <c r="AE578" s="46"/>
      <c r="AF578" s="46"/>
      <c r="AH578" s="46"/>
    </row>
    <row r="579" spans="1:34" ht="13.5" thickTop="1">
      <c r="D579" s="24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 t="s">
        <v>544</v>
      </c>
      <c r="AD579" s="12"/>
      <c r="AE579" s="46"/>
      <c r="AF579" s="46"/>
      <c r="AH579" s="46"/>
    </row>
    <row r="580" spans="1:34">
      <c r="D580" s="24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 t="s">
        <v>544</v>
      </c>
      <c r="T580" s="12"/>
      <c r="U580" s="12"/>
      <c r="V580" s="12"/>
      <c r="W580" s="12"/>
      <c r="X580" s="12"/>
      <c r="Y580" s="12"/>
      <c r="Z580" s="12"/>
      <c r="AA580" s="12"/>
      <c r="AB580" s="12"/>
      <c r="AC580" s="12">
        <f>SUM(E580:AB580)</f>
        <v>0</v>
      </c>
      <c r="AD580" s="12"/>
      <c r="AE580" s="46"/>
      <c r="AF580" s="46"/>
      <c r="AH580" s="46"/>
    </row>
    <row r="581" spans="1:34">
      <c r="D581" s="24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46"/>
      <c r="AF581" s="46"/>
      <c r="AH581" s="46"/>
    </row>
    <row r="582" spans="1:34">
      <c r="D582" s="60"/>
      <c r="E582" s="60">
        <f>+E574-E580+E578</f>
        <v>804441.52</v>
      </c>
      <c r="F582" s="60"/>
      <c r="G582" s="60"/>
      <c r="H582" s="60"/>
      <c r="I582" s="13">
        <f>SUM(I574:I580)</f>
        <v>117</v>
      </c>
      <c r="J582" s="13"/>
      <c r="K582" s="96">
        <f>SUM(K574:K580)</f>
        <v>20027</v>
      </c>
      <c r="L582" s="96"/>
      <c r="M582" s="96"/>
      <c r="N582" s="96"/>
      <c r="O582" s="96"/>
      <c r="P582" s="96"/>
      <c r="Q582" s="96"/>
      <c r="R582" s="96"/>
      <c r="S582" s="13">
        <f>+S574-S576+S578</f>
        <v>10343</v>
      </c>
      <c r="T582" s="13"/>
      <c r="U582" s="60">
        <f t="shared" ref="U582:AB582" si="29">+U574-U580</f>
        <v>0</v>
      </c>
      <c r="V582" s="60">
        <f t="shared" si="29"/>
        <v>0</v>
      </c>
      <c r="W582" s="13">
        <f>+W574-W576+W578</f>
        <v>0</v>
      </c>
      <c r="X582" s="60">
        <f t="shared" si="29"/>
        <v>0</v>
      </c>
      <c r="Y582" s="60">
        <f t="shared" si="29"/>
        <v>0</v>
      </c>
      <c r="Z582" s="60">
        <f t="shared" si="29"/>
        <v>0</v>
      </c>
      <c r="AA582" s="60">
        <f>+AA574-AA580+AA578</f>
        <v>189268</v>
      </c>
      <c r="AB582" s="60">
        <f t="shared" si="29"/>
        <v>0</v>
      </c>
      <c r="AC582" s="60">
        <f>+AC574-AC576+AC578</f>
        <v>1024196.52</v>
      </c>
      <c r="AD582" s="12"/>
      <c r="AE582" s="46"/>
      <c r="AF582" s="46"/>
      <c r="AH582" s="46"/>
    </row>
    <row r="583" spans="1:34">
      <c r="A583" s="12"/>
      <c r="B583" s="24"/>
      <c r="C583" s="24"/>
      <c r="D583" s="24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46"/>
      <c r="AF583" s="46"/>
      <c r="AH583" s="46"/>
    </row>
    <row r="584" spans="1:34">
      <c r="A584" s="24"/>
      <c r="B584" s="24"/>
      <c r="C584" s="24"/>
      <c r="D584" s="24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46"/>
      <c r="AF584" s="46"/>
      <c r="AH584" s="46"/>
    </row>
    <row r="585" spans="1:34">
      <c r="D585" s="24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46"/>
      <c r="AF585" s="46"/>
      <c r="AH585" s="46"/>
    </row>
    <row r="586" spans="1:34">
      <c r="D586" s="60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>
        <v>31500</v>
      </c>
      <c r="W586" s="12"/>
      <c r="X586" s="12"/>
      <c r="Y586" s="12">
        <f>40079.6-29600</f>
        <v>10479.599999999999</v>
      </c>
      <c r="Z586" s="12">
        <v>1800</v>
      </c>
      <c r="AA586" s="12">
        <v>-480092</v>
      </c>
      <c r="AB586" s="12"/>
      <c r="AC586" s="12">
        <f>SUM(E586:AB586)</f>
        <v>-436312.4</v>
      </c>
      <c r="AD586" s="12"/>
      <c r="AE586" s="46"/>
      <c r="AF586" s="46"/>
      <c r="AH586" s="46"/>
    </row>
    <row r="587" spans="1:34">
      <c r="D587" s="24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 t="s">
        <v>544</v>
      </c>
      <c r="AD587" s="12"/>
      <c r="AE587" s="46"/>
      <c r="AF587" s="46"/>
      <c r="AH587" s="46"/>
    </row>
    <row r="588" spans="1:34">
      <c r="D588" s="24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>
        <v>0</v>
      </c>
      <c r="Z588" s="12">
        <v>-1800</v>
      </c>
      <c r="AA588" s="12">
        <v>0</v>
      </c>
      <c r="AB588" s="12"/>
      <c r="AC588" s="12">
        <f>SUM(E588:AB588)</f>
        <v>-1800</v>
      </c>
      <c r="AD588" s="12"/>
      <c r="AE588" s="46"/>
      <c r="AF588" s="46"/>
      <c r="AH588" s="46"/>
    </row>
    <row r="589" spans="1:34">
      <c r="D589" s="24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 t="s">
        <v>544</v>
      </c>
      <c r="AD589" s="12"/>
      <c r="AE589" s="46"/>
      <c r="AF589" s="46"/>
      <c r="AH589" s="46"/>
    </row>
    <row r="590" spans="1:34">
      <c r="D590" s="24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>
        <v>0</v>
      </c>
      <c r="Z590" s="12">
        <v>0</v>
      </c>
      <c r="AA590" s="12">
        <v>0</v>
      </c>
      <c r="AB590" s="12"/>
      <c r="AC590" s="12">
        <f>SUM(E590:AB590)</f>
        <v>0</v>
      </c>
      <c r="AD590" s="12"/>
      <c r="AE590" s="46"/>
      <c r="AF590" s="46"/>
      <c r="AH590" s="46"/>
    </row>
    <row r="591" spans="1:34">
      <c r="A591" s="12"/>
      <c r="B591" s="60"/>
      <c r="C591" s="60"/>
      <c r="D591" s="24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46"/>
      <c r="AF591" s="46"/>
      <c r="AH591" s="46"/>
    </row>
    <row r="592" spans="1:34">
      <c r="A592" s="24"/>
      <c r="B592" s="24"/>
      <c r="C592" s="24"/>
      <c r="D592" s="60"/>
      <c r="E592" s="60">
        <f t="shared" ref="E592:AB592" si="30">SUM(+E586-E588+E590)</f>
        <v>0</v>
      </c>
      <c r="F592" s="60"/>
      <c r="G592" s="60"/>
      <c r="H592" s="60"/>
      <c r="I592" s="60">
        <f t="shared" si="30"/>
        <v>0</v>
      </c>
      <c r="J592" s="60"/>
      <c r="K592" s="60">
        <f t="shared" si="30"/>
        <v>0</v>
      </c>
      <c r="L592" s="60"/>
      <c r="M592" s="60"/>
      <c r="N592" s="60"/>
      <c r="O592" s="60"/>
      <c r="P592" s="60"/>
      <c r="Q592" s="60"/>
      <c r="R592" s="60"/>
      <c r="S592" s="60">
        <f t="shared" si="30"/>
        <v>0</v>
      </c>
      <c r="T592" s="60"/>
      <c r="U592" s="60">
        <f t="shared" si="30"/>
        <v>0</v>
      </c>
      <c r="V592" s="156">
        <f t="shared" si="30"/>
        <v>31500</v>
      </c>
      <c r="W592" s="60">
        <f t="shared" si="30"/>
        <v>0</v>
      </c>
      <c r="X592" s="60">
        <f t="shared" si="30"/>
        <v>0</v>
      </c>
      <c r="Y592" s="60">
        <f t="shared" si="30"/>
        <v>10479.599999999999</v>
      </c>
      <c r="Z592" s="156">
        <f t="shared" si="30"/>
        <v>3600</v>
      </c>
      <c r="AA592" s="156">
        <f t="shared" si="30"/>
        <v>-480092</v>
      </c>
      <c r="AB592" s="60">
        <f t="shared" si="30"/>
        <v>0</v>
      </c>
      <c r="AC592" s="60">
        <f>SUM(+AC586+AC588+AC590)</f>
        <v>-438112.4</v>
      </c>
      <c r="AD592" s="12"/>
      <c r="AE592" s="46"/>
      <c r="AF592" s="46"/>
      <c r="AH592" s="46"/>
    </row>
    <row r="593" spans="1:34">
      <c r="D593" s="24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46"/>
      <c r="AF593" s="46"/>
      <c r="AH593" s="46"/>
    </row>
    <row r="594" spans="1:34">
      <c r="D594" s="24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46"/>
      <c r="AF594" s="46"/>
      <c r="AH594" s="46"/>
    </row>
    <row r="595" spans="1:34">
      <c r="D595" s="24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46"/>
      <c r="AF595" s="46"/>
      <c r="AH595" s="46"/>
    </row>
    <row r="596" spans="1:34">
      <c r="D596" s="60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>
        <v>86666996.469999999</v>
      </c>
      <c r="W596" s="12"/>
      <c r="X596" s="12"/>
      <c r="Y596" s="12"/>
      <c r="Z596" s="12"/>
      <c r="AA596" s="12"/>
      <c r="AB596" s="12"/>
      <c r="AC596" s="12">
        <f>SUM(E596:AB596)</f>
        <v>86666996.469999999</v>
      </c>
      <c r="AD596" s="12"/>
      <c r="AE596" s="46"/>
      <c r="AF596" s="46"/>
      <c r="AH596" s="46"/>
    </row>
    <row r="597" spans="1:34">
      <c r="D597" s="24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>
        <v>169435417</v>
      </c>
      <c r="W597" s="12"/>
      <c r="X597" s="12"/>
      <c r="Y597" s="12"/>
      <c r="Z597" s="12"/>
      <c r="AA597" s="12"/>
      <c r="AB597" s="12"/>
      <c r="AC597" s="12">
        <f>SUM(E597:AB597)</f>
        <v>169435417</v>
      </c>
      <c r="AD597" s="12"/>
      <c r="AE597" s="46"/>
      <c r="AF597" s="46"/>
      <c r="AH597" s="46"/>
    </row>
    <row r="598" spans="1:34">
      <c r="D598" s="24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>
        <v>190810535</v>
      </c>
      <c r="W598" s="12"/>
      <c r="X598" s="12"/>
      <c r="Y598" s="12"/>
      <c r="Z598" s="12"/>
      <c r="AA598" s="12"/>
      <c r="AB598" s="12"/>
      <c r="AC598" s="12">
        <f>SUM(E598:AB598)</f>
        <v>190810535</v>
      </c>
      <c r="AD598" s="12"/>
      <c r="AE598" s="46"/>
      <c r="AF598" s="46"/>
      <c r="AH598" s="46"/>
    </row>
    <row r="599" spans="1:34">
      <c r="A599" s="12"/>
      <c r="B599" s="24"/>
      <c r="C599" s="24"/>
      <c r="D599" s="24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 t="s">
        <v>544</v>
      </c>
      <c r="AD599" s="12"/>
      <c r="AE599" s="46"/>
      <c r="AF599" s="46"/>
      <c r="AH599" s="46"/>
    </row>
    <row r="600" spans="1:34">
      <c r="A600" s="24"/>
      <c r="B600" s="24"/>
      <c r="C600" s="24"/>
      <c r="D600" s="60"/>
      <c r="E600" s="60">
        <f>SUM(E596-E598)</f>
        <v>0</v>
      </c>
      <c r="F600" s="60"/>
      <c r="G600" s="60"/>
      <c r="H600" s="60"/>
      <c r="I600" s="60">
        <f>SUM(I596-I598)</f>
        <v>0</v>
      </c>
      <c r="J600" s="60"/>
      <c r="K600" s="60">
        <f>SUM(K596-K598)</f>
        <v>0</v>
      </c>
      <c r="L600" s="60"/>
      <c r="M600" s="60"/>
      <c r="N600" s="60"/>
      <c r="O600" s="60"/>
      <c r="P600" s="60"/>
      <c r="Q600" s="60"/>
      <c r="R600" s="60"/>
      <c r="S600" s="60">
        <f>SUM(S596-S598)</f>
        <v>0</v>
      </c>
      <c r="T600" s="60"/>
      <c r="U600" s="60">
        <f>SUM(U596-U598)</f>
        <v>0</v>
      </c>
      <c r="V600" s="60">
        <f>SUM(V596-V598+V597)</f>
        <v>65291878.469999999</v>
      </c>
      <c r="W600" s="60">
        <f t="shared" ref="W600:AB600" si="31">SUM(W596-W598)</f>
        <v>0</v>
      </c>
      <c r="X600" s="60">
        <f t="shared" si="31"/>
        <v>0</v>
      </c>
      <c r="Y600" s="60">
        <f t="shared" si="31"/>
        <v>0</v>
      </c>
      <c r="Z600" s="60">
        <f t="shared" si="31"/>
        <v>0</v>
      </c>
      <c r="AA600" s="60">
        <f t="shared" si="31"/>
        <v>0</v>
      </c>
      <c r="AB600" s="60">
        <f t="shared" si="31"/>
        <v>0</v>
      </c>
      <c r="AC600" s="60">
        <f>SUM(AC596-AC598+AC597)</f>
        <v>65291878.469999999</v>
      </c>
      <c r="AD600" s="12" t="s">
        <v>454</v>
      </c>
      <c r="AE600" s="46"/>
      <c r="AF600" s="46"/>
      <c r="AH600" s="46"/>
    </row>
    <row r="601" spans="1:34">
      <c r="A601" s="66" t="s">
        <v>544</v>
      </c>
      <c r="B601" s="12" t="s">
        <v>544</v>
      </c>
      <c r="C601" s="24" t="s">
        <v>544</v>
      </c>
      <c r="D601" s="60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46"/>
      <c r="AF601" s="46"/>
      <c r="AH601" s="46"/>
    </row>
    <row r="602" spans="1:34">
      <c r="A602" s="66"/>
      <c r="B602" s="12"/>
      <c r="C602" s="24"/>
      <c r="D602" s="24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46"/>
      <c r="AF602" s="46"/>
      <c r="AH602" s="46"/>
    </row>
    <row r="603" spans="1:34">
      <c r="A603" s="60" t="s">
        <v>544</v>
      </c>
      <c r="B603" s="60" t="s">
        <v>544</v>
      </c>
      <c r="C603" s="60" t="s">
        <v>544</v>
      </c>
      <c r="D603" s="24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46"/>
      <c r="AF603" s="46"/>
      <c r="AH603" s="46"/>
    </row>
    <row r="604" spans="1:34">
      <c r="A604" s="12"/>
      <c r="B604" s="12"/>
      <c r="C604" s="12"/>
      <c r="D604" s="24"/>
      <c r="E604" s="12">
        <v>688328</v>
      </c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>
        <v>102726</v>
      </c>
      <c r="T604" s="12"/>
      <c r="U604" s="12"/>
      <c r="V604" s="12">
        <v>72630759</v>
      </c>
      <c r="W604" s="12"/>
      <c r="X604" s="12"/>
      <c r="Y604" s="12">
        <v>541271</v>
      </c>
      <c r="Z604" s="12"/>
      <c r="AA604" s="12">
        <v>72812</v>
      </c>
      <c r="AB604" s="12"/>
      <c r="AC604" s="12">
        <f>SUM(E604:AB604)</f>
        <v>74035896</v>
      </c>
      <c r="AD604" s="12"/>
      <c r="AE604" s="46"/>
      <c r="AF604" s="46"/>
      <c r="AH604" s="46"/>
    </row>
    <row r="605" spans="1:34">
      <c r="A605" s="12"/>
      <c r="B605" s="12"/>
      <c r="C605" s="12"/>
      <c r="D605" s="24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 t="s">
        <v>544</v>
      </c>
      <c r="AD605" s="12"/>
      <c r="AE605" s="46"/>
      <c r="AF605" s="46"/>
      <c r="AH605" s="46"/>
    </row>
    <row r="606" spans="1:34">
      <c r="D606" s="24"/>
      <c r="E606" s="12">
        <v>9126</v>
      </c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>
        <v>259754</v>
      </c>
      <c r="T606" s="12"/>
      <c r="U606" s="12"/>
      <c r="V606" s="12">
        <v>8110798</v>
      </c>
      <c r="W606" s="12"/>
      <c r="X606" s="12"/>
      <c r="Y606" s="12">
        <v>38266</v>
      </c>
      <c r="Z606" s="12"/>
      <c r="AA606" s="12"/>
      <c r="AB606" s="12"/>
      <c r="AC606" s="12">
        <f>SUM(E606:AB606)</f>
        <v>8417944</v>
      </c>
      <c r="AD606" s="12"/>
      <c r="AE606" s="46"/>
      <c r="AF606" s="46"/>
      <c r="AH606" s="46"/>
    </row>
    <row r="607" spans="1:34">
      <c r="D607" s="24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>
        <v>1402197</v>
      </c>
      <c r="W607" s="12"/>
      <c r="X607" s="12"/>
      <c r="Y607" s="12"/>
      <c r="Z607" s="12"/>
      <c r="AA607" s="12"/>
      <c r="AB607" s="12"/>
      <c r="AC607" s="12">
        <f>SUM(E607:AB607)</f>
        <v>1402197</v>
      </c>
      <c r="AD607" s="12"/>
      <c r="AE607" s="46"/>
      <c r="AF607" s="46"/>
      <c r="AH607" s="46"/>
    </row>
    <row r="608" spans="1:34">
      <c r="D608" s="60"/>
      <c r="E608" s="60">
        <f>SUM(E604+E606)</f>
        <v>697454</v>
      </c>
      <c r="F608" s="60"/>
      <c r="G608" s="60"/>
      <c r="H608" s="60"/>
      <c r="I608" s="60">
        <f>SUM(I604+I606)</f>
        <v>0</v>
      </c>
      <c r="J608" s="60"/>
      <c r="K608" s="60">
        <f>SUM(K604+K606)</f>
        <v>0</v>
      </c>
      <c r="L608" s="60"/>
      <c r="M608" s="60"/>
      <c r="N608" s="60"/>
      <c r="O608" s="60"/>
      <c r="P608" s="60"/>
      <c r="Q608" s="60"/>
      <c r="R608" s="60"/>
      <c r="S608" s="60">
        <f>SUM(S604+S606)</f>
        <v>362480</v>
      </c>
      <c r="T608" s="60"/>
      <c r="U608" s="60">
        <f>SUM(U604+U606)</f>
        <v>0</v>
      </c>
      <c r="V608" s="60">
        <f>SUM(V604+V606+V607)</f>
        <v>82143754</v>
      </c>
      <c r="W608" s="60">
        <f t="shared" ref="W608:AB608" si="32">SUM(W604+W606)</f>
        <v>0</v>
      </c>
      <c r="X608" s="60">
        <f t="shared" si="32"/>
        <v>0</v>
      </c>
      <c r="Y608" s="60">
        <f t="shared" si="32"/>
        <v>579537</v>
      </c>
      <c r="Z608" s="60">
        <f t="shared" si="32"/>
        <v>0</v>
      </c>
      <c r="AA608" s="60">
        <f t="shared" si="32"/>
        <v>72812</v>
      </c>
      <c r="AB608" s="60">
        <f t="shared" si="32"/>
        <v>0</v>
      </c>
      <c r="AC608" s="60">
        <f>SUM(AC604+AC606+AC607)</f>
        <v>83856037</v>
      </c>
      <c r="AD608" s="12"/>
      <c r="AE608" s="46"/>
      <c r="AF608" s="46"/>
      <c r="AH608" s="46"/>
    </row>
    <row r="609" spans="1:34">
      <c r="D609" s="24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46"/>
      <c r="AF609" s="46"/>
      <c r="AH609" s="46"/>
    </row>
    <row r="610" spans="1:34">
      <c r="D610" s="24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46"/>
      <c r="AF610" s="46"/>
      <c r="AH610" s="46"/>
    </row>
    <row r="611" spans="1:34">
      <c r="D611" s="24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46"/>
      <c r="AF611" s="46"/>
      <c r="AH611" s="46"/>
    </row>
    <row r="612" spans="1:34">
      <c r="D612" s="24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46"/>
      <c r="AF612" s="46"/>
      <c r="AH612" s="46"/>
    </row>
    <row r="613" spans="1:34">
      <c r="D613" s="60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46"/>
      <c r="AF613" s="46"/>
      <c r="AH613" s="46"/>
    </row>
    <row r="614" spans="1:34"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46"/>
      <c r="AF614" s="46"/>
      <c r="AH614" s="46"/>
    </row>
    <row r="615" spans="1:34"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46"/>
      <c r="AF615" s="46"/>
      <c r="AH615" s="46"/>
    </row>
    <row r="616" spans="1:34">
      <c r="D616" s="107"/>
      <c r="E616" s="13">
        <f>+E560+E570+E582+E592+E600+E608+E613</f>
        <v>1501895.52</v>
      </c>
      <c r="F616" s="13"/>
      <c r="G616" s="13"/>
      <c r="H616" s="13"/>
      <c r="I616" s="13">
        <f>+I560+I570+I582+I592+I600+I608+I613</f>
        <v>117</v>
      </c>
      <c r="J616" s="13"/>
      <c r="K616" s="13">
        <f>+K560+K570+K582+K592+K600+K608+K613</f>
        <v>20027</v>
      </c>
      <c r="L616" s="13"/>
      <c r="M616" s="13"/>
      <c r="N616" s="13"/>
      <c r="O616" s="13"/>
      <c r="P616" s="13"/>
      <c r="Q616" s="13"/>
      <c r="R616" s="13"/>
      <c r="S616" s="13">
        <f>+S560+S570+S582+S592+S600+S608+S613</f>
        <v>372823</v>
      </c>
      <c r="T616" s="13"/>
      <c r="U616" s="13">
        <f t="shared" ref="U616:AC616" si="33">+U560+U570+U582+U592+U600+U608+U613</f>
        <v>0</v>
      </c>
      <c r="V616" s="13">
        <f t="shared" si="33"/>
        <v>816305180.85000002</v>
      </c>
      <c r="W616" s="13">
        <f t="shared" si="33"/>
        <v>0</v>
      </c>
      <c r="X616" s="13">
        <f t="shared" si="33"/>
        <v>0</v>
      </c>
      <c r="Y616" s="13">
        <f t="shared" si="33"/>
        <v>590016.6</v>
      </c>
      <c r="Z616" s="13">
        <f t="shared" si="33"/>
        <v>3600</v>
      </c>
      <c r="AA616" s="13">
        <f t="shared" si="33"/>
        <v>12781988</v>
      </c>
      <c r="AB616" s="13">
        <f t="shared" si="33"/>
        <v>0</v>
      </c>
      <c r="AC616" s="13">
        <f t="shared" si="33"/>
        <v>831572047.97000003</v>
      </c>
      <c r="AD616" s="12"/>
      <c r="AE616" s="46"/>
      <c r="AF616" s="46"/>
      <c r="AH616" s="46"/>
    </row>
    <row r="617" spans="1:34">
      <c r="A617" s="12"/>
      <c r="B617" s="149" t="s">
        <v>544</v>
      </c>
      <c r="C617" s="149"/>
      <c r="D617" s="149"/>
      <c r="E617" s="12">
        <v>396203.8</v>
      </c>
      <c r="F617" s="12"/>
      <c r="G617" s="12"/>
      <c r="H617" s="12"/>
      <c r="I617" s="12">
        <v>0</v>
      </c>
      <c r="J617" s="12"/>
      <c r="K617" s="12">
        <v>469631</v>
      </c>
      <c r="L617" s="12"/>
      <c r="M617" s="12"/>
      <c r="N617" s="12"/>
      <c r="O617" s="12"/>
      <c r="P617" s="12"/>
      <c r="Q617" s="12"/>
      <c r="R617" s="12"/>
      <c r="S617" s="12">
        <v>505106</v>
      </c>
      <c r="T617" s="12">
        <v>0</v>
      </c>
      <c r="U617" s="12">
        <v>270897</v>
      </c>
      <c r="V617" s="12">
        <v>-361006333.08999997</v>
      </c>
      <c r="W617" s="12">
        <v>310550.55</v>
      </c>
      <c r="X617" s="12">
        <v>2241338.65</v>
      </c>
      <c r="Y617" s="12">
        <v>92653.05</v>
      </c>
      <c r="Z617" s="12">
        <v>7063021.5999999996</v>
      </c>
      <c r="AA617" s="12">
        <v>39594765.280000001</v>
      </c>
      <c r="AB617" s="12"/>
      <c r="AC617" s="12">
        <f>SUM(E617:AB617)</f>
        <v>-310062166.15999997</v>
      </c>
      <c r="AD617" s="12" t="s">
        <v>459</v>
      </c>
      <c r="AE617" s="46"/>
      <c r="AF617" s="46"/>
      <c r="AH617" s="46"/>
    </row>
    <row r="618" spans="1:34">
      <c r="A618" s="12"/>
      <c r="B618" s="12" t="s">
        <v>544</v>
      </c>
      <c r="C618" s="12"/>
      <c r="D618" s="12"/>
      <c r="E618" s="12">
        <f t="shared" ref="E618:AC618" si="34">SUM(E616:E617)</f>
        <v>1898099.32</v>
      </c>
      <c r="F618" s="12"/>
      <c r="G618" s="12"/>
      <c r="H618" s="12"/>
      <c r="I618" s="12">
        <f t="shared" si="34"/>
        <v>117</v>
      </c>
      <c r="J618" s="12"/>
      <c r="K618" s="12">
        <f t="shared" si="34"/>
        <v>489658</v>
      </c>
      <c r="L618" s="12"/>
      <c r="M618" s="12"/>
      <c r="N618" s="12"/>
      <c r="O618" s="12"/>
      <c r="P618" s="12"/>
      <c r="Q618" s="12"/>
      <c r="R618" s="12"/>
      <c r="S618" s="12">
        <f t="shared" si="34"/>
        <v>877929</v>
      </c>
      <c r="T618" s="12">
        <f t="shared" si="34"/>
        <v>0</v>
      </c>
      <c r="U618" s="12">
        <f t="shared" si="34"/>
        <v>270897</v>
      </c>
      <c r="V618" s="12">
        <f t="shared" si="34"/>
        <v>455298847.76000005</v>
      </c>
      <c r="W618" s="12">
        <f t="shared" si="34"/>
        <v>310550.55</v>
      </c>
      <c r="X618" s="12">
        <f t="shared" si="34"/>
        <v>2241338.65</v>
      </c>
      <c r="Y618" s="12">
        <f t="shared" si="34"/>
        <v>682669.65</v>
      </c>
      <c r="Z618" s="12">
        <f t="shared" si="34"/>
        <v>7066621.5999999996</v>
      </c>
      <c r="AA618" s="12">
        <f t="shared" si="34"/>
        <v>52376753.280000001</v>
      </c>
      <c r="AB618" s="12">
        <f t="shared" si="34"/>
        <v>0</v>
      </c>
      <c r="AC618" s="12">
        <f t="shared" si="34"/>
        <v>521509881.81000006</v>
      </c>
      <c r="AD618" s="12"/>
      <c r="AE618" s="46"/>
      <c r="AF618" s="46"/>
      <c r="AH618" s="46"/>
    </row>
    <row r="619" spans="1:34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 t="s">
        <v>454</v>
      </c>
      <c r="V619" s="12" t="s">
        <v>454</v>
      </c>
      <c r="W619" s="12" t="s">
        <v>454</v>
      </c>
      <c r="X619" s="12" t="s">
        <v>454</v>
      </c>
      <c r="Y619" s="12" t="s">
        <v>454</v>
      </c>
      <c r="Z619" s="12" t="s">
        <v>454</v>
      </c>
      <c r="AA619" s="12" t="s">
        <v>454</v>
      </c>
      <c r="AB619" s="12"/>
      <c r="AC619" s="12" t="s">
        <v>544</v>
      </c>
      <c r="AD619" s="12"/>
      <c r="AE619" s="46"/>
      <c r="AF619" s="46"/>
      <c r="AH619" s="46"/>
    </row>
    <row r="620" spans="1:3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>
        <f>'[2]liability-sch'!AD199-AC617</f>
        <v>1135205008.1899998</v>
      </c>
      <c r="AE620" s="46"/>
      <c r="AF620" s="46"/>
      <c r="AH620" s="46"/>
    </row>
    <row r="621" spans="1:34">
      <c r="A621" s="12" t="s">
        <v>544</v>
      </c>
      <c r="B621" s="12"/>
      <c r="C621" s="12"/>
      <c r="D621" s="12"/>
      <c r="E621" s="12" t="s">
        <v>18</v>
      </c>
      <c r="F621" s="12"/>
      <c r="G621" s="12"/>
      <c r="H621" s="12"/>
      <c r="I621" s="12" t="s">
        <v>535</v>
      </c>
      <c r="J621" s="12"/>
      <c r="K621" s="12" t="s">
        <v>23</v>
      </c>
      <c r="L621" s="12"/>
      <c r="M621" s="12"/>
      <c r="N621" s="12"/>
      <c r="O621" s="12"/>
      <c r="P621" s="12"/>
      <c r="Q621" s="12"/>
      <c r="R621" s="12"/>
      <c r="S621" s="12" t="s">
        <v>389</v>
      </c>
      <c r="T621" s="12" t="s">
        <v>460</v>
      </c>
      <c r="U621" s="12" t="s">
        <v>437</v>
      </c>
      <c r="V621" s="12" t="s">
        <v>632</v>
      </c>
      <c r="W621" s="12" t="s">
        <v>22</v>
      </c>
      <c r="X621" s="12" t="s">
        <v>20</v>
      </c>
      <c r="Y621" s="12" t="s">
        <v>371</v>
      </c>
      <c r="Z621" s="12" t="s">
        <v>636</v>
      </c>
      <c r="AA621" s="12" t="s">
        <v>630</v>
      </c>
      <c r="AB621" s="12" t="s">
        <v>631</v>
      </c>
      <c r="AC621" s="12" t="s">
        <v>439</v>
      </c>
      <c r="AD621" s="12"/>
      <c r="AE621" s="46"/>
      <c r="AF621" s="46"/>
      <c r="AH621" s="46"/>
    </row>
    <row r="622" spans="1:34">
      <c r="A622" s="12"/>
      <c r="B622" s="24"/>
      <c r="C622" s="24"/>
      <c r="D622" s="24"/>
      <c r="E622" s="12" t="s">
        <v>391</v>
      </c>
      <c r="F622" s="12"/>
      <c r="G622" s="12"/>
      <c r="H622" s="12"/>
      <c r="I622" s="12" t="s">
        <v>391</v>
      </c>
      <c r="J622" s="12"/>
      <c r="K622" s="12" t="s">
        <v>391</v>
      </c>
      <c r="L622" s="12"/>
      <c r="M622" s="12"/>
      <c r="N622" s="12"/>
      <c r="O622" s="12"/>
      <c r="P622" s="12"/>
      <c r="Q622" s="12"/>
      <c r="R622" s="12"/>
      <c r="S622" s="12" t="s">
        <v>391</v>
      </c>
      <c r="T622" s="12"/>
      <c r="U622" s="12" t="s">
        <v>391</v>
      </c>
      <c r="V622" s="12" t="s">
        <v>391</v>
      </c>
      <c r="W622" s="12" t="s">
        <v>391</v>
      </c>
      <c r="X622" s="12" t="s">
        <v>391</v>
      </c>
      <c r="Y622" s="12" t="s">
        <v>391</v>
      </c>
      <c r="Z622" s="12" t="s">
        <v>391</v>
      </c>
      <c r="AA622" s="12" t="s">
        <v>391</v>
      </c>
      <c r="AB622" s="12"/>
      <c r="AC622" s="12"/>
      <c r="AD622" s="12"/>
      <c r="AE622" s="46"/>
      <c r="AF622" s="46"/>
      <c r="AH622" s="46"/>
    </row>
    <row r="623" spans="1:34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46"/>
      <c r="W623" s="46"/>
      <c r="AD623" s="46"/>
      <c r="AE623" s="46"/>
      <c r="AF623" s="46"/>
      <c r="AH623" s="46"/>
    </row>
    <row r="624" spans="1:34" ht="15.75">
      <c r="A624" s="24"/>
      <c r="B624" s="13"/>
      <c r="C624" s="37" t="s">
        <v>932</v>
      </c>
      <c r="D624" s="37"/>
      <c r="E624" s="144"/>
      <c r="F624" s="144"/>
      <c r="G624" s="144"/>
      <c r="H624" s="144"/>
      <c r="I624" s="144"/>
      <c r="J624" s="144"/>
      <c r="K624" s="46"/>
      <c r="L624" s="46"/>
      <c r="M624" s="46"/>
      <c r="N624" s="46"/>
      <c r="O624" s="46"/>
      <c r="P624" s="46"/>
      <c r="Q624" s="46"/>
      <c r="R624" s="30"/>
      <c r="S624" s="30"/>
      <c r="T624" s="30"/>
      <c r="U624" s="30"/>
      <c r="V624" s="46"/>
      <c r="W624" s="46"/>
      <c r="AD624" s="46"/>
      <c r="AE624" s="46"/>
      <c r="AF624" s="46"/>
      <c r="AH624" s="46"/>
    </row>
    <row r="625" spans="1:34">
      <c r="A625" s="24"/>
      <c r="B625" s="12"/>
      <c r="C625" s="12"/>
      <c r="D625" s="12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30"/>
      <c r="S625" s="30"/>
      <c r="T625" s="30"/>
      <c r="U625" s="30"/>
      <c r="V625" s="46"/>
      <c r="W625" s="46"/>
      <c r="AD625" s="46"/>
      <c r="AE625" s="46"/>
      <c r="AF625" s="46"/>
      <c r="AH625" s="46"/>
    </row>
    <row r="626" spans="1:34">
      <c r="A626" s="66" t="s">
        <v>598</v>
      </c>
      <c r="B626" s="12"/>
      <c r="C626" s="12"/>
      <c r="D626" s="12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30"/>
      <c r="S626" s="30"/>
      <c r="T626" s="30"/>
      <c r="U626" s="30"/>
      <c r="V626" s="46"/>
      <c r="W626" s="46"/>
      <c r="AD626" s="46"/>
      <c r="AE626" s="46"/>
      <c r="AF626" s="46"/>
      <c r="AH626" s="46"/>
    </row>
    <row r="627" spans="1:34">
      <c r="A627" s="66"/>
      <c r="B627" s="74" t="s">
        <v>542</v>
      </c>
      <c r="C627" s="74" t="s">
        <v>543</v>
      </c>
      <c r="D627" s="74"/>
      <c r="E627" s="112"/>
      <c r="F627" s="112"/>
      <c r="G627" s="112"/>
      <c r="H627" s="112"/>
      <c r="I627" s="112"/>
      <c r="J627" s="112"/>
      <c r="K627" s="46"/>
      <c r="L627" s="46"/>
      <c r="M627" s="46"/>
      <c r="N627" s="46"/>
      <c r="O627" s="46"/>
      <c r="P627" s="46"/>
      <c r="Q627" s="46"/>
      <c r="R627" s="30"/>
      <c r="S627" s="30"/>
      <c r="T627" s="30"/>
      <c r="U627" s="30"/>
      <c r="V627" s="46"/>
      <c r="W627" s="46"/>
      <c r="AD627" s="46"/>
      <c r="AE627" s="46"/>
      <c r="AF627" s="46"/>
      <c r="AH627" s="46"/>
    </row>
    <row r="628" spans="1:34">
      <c r="A628" s="66" t="s">
        <v>544</v>
      </c>
      <c r="B628" s="74" t="s">
        <v>83</v>
      </c>
      <c r="C628" s="74" t="s">
        <v>537</v>
      </c>
      <c r="D628" s="74"/>
      <c r="E628" s="112"/>
      <c r="F628" s="112"/>
      <c r="G628" s="112"/>
      <c r="H628" s="112"/>
      <c r="I628" s="112"/>
      <c r="J628" s="112"/>
      <c r="K628" s="46"/>
      <c r="L628" s="46"/>
      <c r="M628" s="46"/>
      <c r="N628" s="46"/>
      <c r="O628" s="46"/>
      <c r="P628" s="46"/>
      <c r="Q628" s="46"/>
      <c r="R628" s="30"/>
      <c r="S628" s="30"/>
      <c r="T628" s="30"/>
      <c r="U628" s="30"/>
      <c r="V628" s="46"/>
      <c r="W628" s="46"/>
      <c r="AD628" s="46"/>
      <c r="AE628" s="46"/>
      <c r="AF628" s="46"/>
      <c r="AH628" s="46"/>
    </row>
    <row r="629" spans="1:34">
      <c r="A629" s="66" t="s">
        <v>461</v>
      </c>
      <c r="B629" s="24"/>
      <c r="C629" s="24"/>
      <c r="D629" s="24"/>
      <c r="E629" s="24"/>
      <c r="F629" s="24"/>
      <c r="G629" s="24"/>
      <c r="H629" s="24"/>
      <c r="I629" s="24"/>
      <c r="J629" s="24"/>
      <c r="K629" s="46"/>
      <c r="L629" s="46"/>
      <c r="M629" s="46"/>
      <c r="N629" s="46"/>
      <c r="O629" s="46"/>
      <c r="P629" s="46"/>
      <c r="Q629" s="46"/>
      <c r="R629" s="30"/>
      <c r="S629" s="30"/>
      <c r="T629" s="30"/>
      <c r="U629" s="30"/>
      <c r="V629" s="46"/>
      <c r="W629" s="46"/>
      <c r="AD629" s="46"/>
      <c r="AE629" s="46"/>
      <c r="AF629" s="46"/>
      <c r="AH629" s="46"/>
    </row>
    <row r="630" spans="1:34">
      <c r="A630" s="24" t="s">
        <v>462</v>
      </c>
      <c r="B630" s="24">
        <v>20000</v>
      </c>
      <c r="C630" s="24">
        <v>20000</v>
      </c>
      <c r="D630" s="24"/>
      <c r="E630" s="24"/>
      <c r="F630" s="24"/>
      <c r="G630" s="24"/>
      <c r="H630" s="24"/>
      <c r="I630" s="24"/>
      <c r="J630" s="24"/>
      <c r="K630" s="46"/>
      <c r="L630" s="46"/>
      <c r="M630" s="46"/>
      <c r="N630" s="46"/>
      <c r="O630" s="46"/>
      <c r="P630" s="46"/>
      <c r="Q630" s="46"/>
      <c r="R630" s="30"/>
      <c r="S630" s="30"/>
      <c r="T630" s="30"/>
      <c r="U630" s="30"/>
      <c r="V630" s="46"/>
      <c r="W630" s="46"/>
      <c r="AD630" s="46"/>
      <c r="AE630" s="46"/>
      <c r="AF630" s="46"/>
      <c r="AH630" s="46"/>
    </row>
    <row r="631" spans="1:3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46"/>
      <c r="L631" s="46"/>
      <c r="M631" s="46"/>
      <c r="N631" s="46"/>
      <c r="O631" s="46"/>
      <c r="P631" s="46"/>
      <c r="Q631" s="46"/>
      <c r="R631" s="30"/>
      <c r="S631" s="30"/>
      <c r="T631" s="30"/>
      <c r="U631" s="30"/>
      <c r="V631" s="46"/>
      <c r="W631" s="46"/>
      <c r="AD631" s="46"/>
      <c r="AE631" s="46"/>
      <c r="AF631" s="46"/>
      <c r="AH631" s="46"/>
    </row>
    <row r="632" spans="1:34">
      <c r="A632" s="60" t="s">
        <v>151</v>
      </c>
      <c r="B632" s="60">
        <f>SUM(B629:B630)</f>
        <v>20000</v>
      </c>
      <c r="C632" s="60">
        <v>20000</v>
      </c>
      <c r="D632" s="60"/>
      <c r="E632" s="60"/>
      <c r="F632" s="60"/>
      <c r="G632" s="60"/>
      <c r="H632" s="60"/>
      <c r="I632" s="60"/>
      <c r="J632" s="60"/>
      <c r="K632" s="46"/>
      <c r="L632" s="46"/>
      <c r="M632" s="46"/>
      <c r="N632" s="46"/>
      <c r="O632" s="46"/>
      <c r="P632" s="46"/>
      <c r="Q632" s="46"/>
      <c r="R632" s="30"/>
      <c r="S632" s="30"/>
      <c r="T632" s="30"/>
      <c r="U632" s="30"/>
      <c r="V632" s="46"/>
      <c r="W632" s="46"/>
      <c r="AD632" s="46"/>
      <c r="AE632" s="46"/>
      <c r="AF632" s="46"/>
      <c r="AH632" s="46"/>
    </row>
    <row r="633" spans="1:3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46"/>
      <c r="L633" s="46"/>
      <c r="M633" s="46"/>
      <c r="N633" s="46"/>
      <c r="O633" s="46"/>
      <c r="P633" s="46"/>
      <c r="Q633" s="46"/>
      <c r="R633" s="30"/>
      <c r="S633" s="30"/>
      <c r="T633" s="30"/>
      <c r="U633" s="30"/>
      <c r="V633" s="46"/>
      <c r="W633" s="46"/>
      <c r="AD633" s="46"/>
      <c r="AE633" s="46"/>
      <c r="AF633" s="46"/>
      <c r="AH633" s="46"/>
    </row>
    <row r="634" spans="1:34">
      <c r="A634" s="66" t="s">
        <v>463</v>
      </c>
      <c r="B634" s="157"/>
      <c r="C634" s="157"/>
      <c r="D634" s="157"/>
      <c r="E634" s="157"/>
      <c r="F634" s="157"/>
      <c r="G634" s="157"/>
      <c r="H634" s="157"/>
      <c r="I634" s="157"/>
      <c r="J634" s="157"/>
      <c r="K634" s="46"/>
      <c r="L634" s="46"/>
      <c r="M634" s="46"/>
      <c r="N634" s="46"/>
      <c r="O634" s="46"/>
      <c r="P634" s="46"/>
      <c r="Q634" s="46"/>
      <c r="R634" s="30"/>
      <c r="S634" s="30"/>
      <c r="T634" s="30"/>
      <c r="U634" s="30"/>
      <c r="V634" s="46"/>
      <c r="W634" s="46"/>
      <c r="AD634" s="46"/>
      <c r="AE634" s="46"/>
      <c r="AF634" s="46"/>
      <c r="AH634" s="46"/>
    </row>
    <row r="635" spans="1:34">
      <c r="A635" s="24" t="s">
        <v>562</v>
      </c>
      <c r="B635" s="101">
        <f>C637</f>
        <v>503980</v>
      </c>
      <c r="C635" s="101">
        <v>503980</v>
      </c>
      <c r="D635" s="157"/>
      <c r="E635" s="157"/>
      <c r="F635" s="157"/>
      <c r="G635" s="157"/>
      <c r="H635" s="157"/>
      <c r="I635" s="157"/>
      <c r="J635" s="157"/>
      <c r="K635" s="46"/>
      <c r="L635" s="46"/>
      <c r="M635" s="46"/>
      <c r="N635" s="46"/>
      <c r="O635" s="46"/>
      <c r="P635" s="46"/>
      <c r="Q635" s="46"/>
      <c r="R635" s="30"/>
      <c r="S635" s="30"/>
      <c r="T635" s="30"/>
      <c r="U635" s="30"/>
      <c r="V635" s="46"/>
      <c r="W635" s="46"/>
      <c r="AD635" s="46"/>
      <c r="AE635" s="46"/>
      <c r="AF635" s="46"/>
      <c r="AH635" s="46"/>
    </row>
    <row r="636" spans="1:34">
      <c r="A636" s="24"/>
      <c r="B636" s="157"/>
      <c r="C636" s="157"/>
      <c r="D636" s="157"/>
      <c r="E636" s="157"/>
      <c r="F636" s="157"/>
      <c r="G636" s="157"/>
      <c r="H636" s="157"/>
      <c r="I636" s="157"/>
      <c r="J636" s="157"/>
      <c r="K636" s="46"/>
      <c r="L636" s="46"/>
      <c r="M636" s="46"/>
      <c r="N636" s="46"/>
      <c r="O636" s="46"/>
      <c r="P636" s="46"/>
      <c r="Q636" s="46"/>
      <c r="R636" s="30"/>
      <c r="S636" s="30"/>
      <c r="T636" s="30"/>
      <c r="U636" s="30"/>
      <c r="V636" s="46"/>
      <c r="W636" s="46"/>
      <c r="AD636" s="46"/>
      <c r="AE636" s="46"/>
      <c r="AF636" s="46"/>
      <c r="AH636" s="46"/>
    </row>
    <row r="637" spans="1:34">
      <c r="A637" s="60" t="s">
        <v>151</v>
      </c>
      <c r="B637" s="101">
        <f>+B635</f>
        <v>503980</v>
      </c>
      <c r="C637" s="101">
        <v>503980</v>
      </c>
      <c r="D637" s="101"/>
      <c r="E637" s="101"/>
      <c r="F637" s="101"/>
      <c r="G637" s="101"/>
      <c r="H637" s="101"/>
      <c r="I637" s="101"/>
      <c r="J637" s="101"/>
      <c r="K637" s="46"/>
      <c r="L637" s="46"/>
      <c r="M637" s="46"/>
      <c r="N637" s="46"/>
      <c r="O637" s="46"/>
      <c r="P637" s="46"/>
      <c r="Q637" s="46"/>
      <c r="R637" s="30"/>
      <c r="S637" s="30"/>
      <c r="T637" s="30"/>
      <c r="U637" s="30"/>
      <c r="V637" s="46"/>
      <c r="W637" s="46"/>
      <c r="AD637" s="46"/>
      <c r="AE637" s="46"/>
      <c r="AF637" s="46"/>
      <c r="AH637" s="46"/>
    </row>
    <row r="638" spans="1:34">
      <c r="A638" s="24"/>
      <c r="B638" s="157"/>
      <c r="C638" s="157"/>
      <c r="D638" s="157"/>
      <c r="E638" s="157"/>
      <c r="F638" s="157"/>
      <c r="G638" s="157"/>
      <c r="H638" s="157"/>
      <c r="I638" s="157"/>
      <c r="J638" s="157"/>
      <c r="K638" s="46"/>
      <c r="L638" s="46"/>
      <c r="M638" s="46"/>
      <c r="N638" s="46"/>
      <c r="O638" s="46"/>
      <c r="P638" s="46"/>
      <c r="Q638" s="46"/>
      <c r="R638" s="30"/>
      <c r="S638" s="30"/>
      <c r="T638" s="30"/>
      <c r="U638" s="30"/>
      <c r="V638" s="46"/>
      <c r="W638" s="46"/>
      <c r="AD638" s="46"/>
      <c r="AE638" s="46"/>
      <c r="AF638" s="46"/>
      <c r="AH638" s="46"/>
    </row>
    <row r="639" spans="1:34" ht="13.5" thickBot="1">
      <c r="A639" s="60" t="s">
        <v>597</v>
      </c>
      <c r="B639" s="114">
        <f>+B632+B637</f>
        <v>523980</v>
      </c>
      <c r="C639" s="114">
        <v>523980</v>
      </c>
      <c r="D639" s="114"/>
      <c r="E639" s="114"/>
      <c r="F639" s="114"/>
      <c r="G639" s="114"/>
      <c r="H639" s="114"/>
      <c r="I639" s="114"/>
      <c r="J639" s="158"/>
      <c r="K639" s="46"/>
      <c r="L639" s="46"/>
      <c r="M639" s="46"/>
      <c r="N639" s="46"/>
      <c r="O639" s="46"/>
      <c r="P639" s="46"/>
      <c r="Q639" s="46"/>
      <c r="R639" s="30"/>
      <c r="S639" s="30"/>
      <c r="T639" s="30"/>
      <c r="U639" s="30"/>
      <c r="V639" s="46"/>
      <c r="W639" s="46"/>
      <c r="AD639" s="46"/>
      <c r="AE639" s="46"/>
      <c r="AF639" s="46"/>
      <c r="AH639" s="46"/>
    </row>
    <row r="640" spans="1:34" ht="13.5" thickTop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0"/>
      <c r="S640" s="30"/>
      <c r="T640" s="30"/>
      <c r="U640" s="30"/>
      <c r="V640" s="46"/>
      <c r="W640" s="46"/>
      <c r="AD640" s="46"/>
      <c r="AE640" s="46"/>
      <c r="AF640" s="46"/>
      <c r="AH640" s="46"/>
    </row>
    <row r="641" spans="1:34">
      <c r="A641" s="30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AD641" s="46"/>
      <c r="AE641" s="46"/>
      <c r="AF641" s="46"/>
      <c r="AH641" s="46"/>
    </row>
    <row r="642" spans="1:34"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AD642" s="46"/>
      <c r="AE642" s="46"/>
      <c r="AF642" s="46"/>
      <c r="AH642" s="46"/>
    </row>
    <row r="643" spans="1:34"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AD643" s="46"/>
      <c r="AE643" s="46"/>
      <c r="AF643" s="46"/>
      <c r="AH643" s="46"/>
    </row>
    <row r="644" spans="1:34"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AD644" s="46"/>
      <c r="AE644" s="46"/>
      <c r="AF644" s="46"/>
      <c r="AH644" s="46"/>
    </row>
    <row r="645" spans="1:34"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AD645" s="46"/>
      <c r="AE645" s="46"/>
      <c r="AF645" s="46"/>
      <c r="AH645" s="46"/>
    </row>
    <row r="646" spans="1:34">
      <c r="B646" s="46"/>
      <c r="C646" s="46"/>
      <c r="D646" s="46"/>
      <c r="E646" s="46"/>
      <c r="F646" s="46"/>
      <c r="G646" s="46"/>
      <c r="H646" s="46"/>
      <c r="I646" s="46"/>
      <c r="J646" s="46"/>
      <c r="K646" s="46" t="s">
        <v>544</v>
      </c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145" t="s">
        <v>544</v>
      </c>
      <c r="W646" s="145"/>
      <c r="AD646" s="46"/>
      <c r="AE646" s="46"/>
      <c r="AF646" s="46"/>
      <c r="AH646" s="46"/>
    </row>
    <row r="647" spans="1:34">
      <c r="B647" s="46"/>
      <c r="C647" s="46"/>
      <c r="D647" s="46"/>
      <c r="E647" s="46"/>
      <c r="F647" s="46"/>
      <c r="G647" s="46"/>
      <c r="H647" s="46"/>
      <c r="I647" s="46"/>
      <c r="J647" s="46"/>
      <c r="K647" s="46" t="s">
        <v>544</v>
      </c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AD647" s="46"/>
      <c r="AE647" s="46"/>
      <c r="AF647" s="46"/>
      <c r="AH647" s="46"/>
    </row>
    <row r="648" spans="1:34"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AD648" s="46"/>
      <c r="AE648" s="46"/>
      <c r="AF648" s="46"/>
      <c r="AH648" s="46"/>
    </row>
    <row r="649" spans="1:34">
      <c r="A649" s="12"/>
      <c r="B649" s="12"/>
      <c r="C649" s="12"/>
      <c r="D649" s="12"/>
      <c r="E649" s="74" t="s">
        <v>933</v>
      </c>
      <c r="F649" s="12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AD649" s="46"/>
      <c r="AE649" s="46"/>
      <c r="AF649" s="46"/>
      <c r="AH649" s="46"/>
    </row>
    <row r="650" spans="1:34">
      <c r="A650" s="16" t="s">
        <v>538</v>
      </c>
      <c r="B650" s="12"/>
      <c r="C650" s="12"/>
      <c r="D650" s="12"/>
      <c r="E650" s="12"/>
      <c r="F650" s="12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AD650" s="46"/>
      <c r="AE650" s="46"/>
      <c r="AF650" s="46"/>
      <c r="AH650" s="46"/>
    </row>
    <row r="651" spans="1:34">
      <c r="A651" s="159" t="s">
        <v>544</v>
      </c>
      <c r="B651" s="12"/>
      <c r="C651" s="12"/>
      <c r="D651" s="12"/>
      <c r="E651" s="12"/>
      <c r="F651" s="12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AD651" s="46"/>
      <c r="AE651" s="46"/>
      <c r="AF651" s="46"/>
      <c r="AH651" s="46"/>
    </row>
    <row r="652" spans="1:34">
      <c r="A652" s="12"/>
      <c r="B652" s="160" t="s">
        <v>419</v>
      </c>
      <c r="C652" s="161" t="s">
        <v>464</v>
      </c>
      <c r="D652" s="161" t="s">
        <v>652</v>
      </c>
      <c r="E652" s="161" t="s">
        <v>439</v>
      </c>
      <c r="F652" s="161"/>
      <c r="I652" s="162"/>
      <c r="J652" s="162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AD652" s="46"/>
      <c r="AE652" s="46"/>
      <c r="AF652" s="46"/>
      <c r="AH652" s="46"/>
    </row>
    <row r="653" spans="1:34">
      <c r="A653" s="160" t="s">
        <v>19</v>
      </c>
      <c r="B653" s="13" t="s">
        <v>3</v>
      </c>
      <c r="C653" s="161" t="s">
        <v>322</v>
      </c>
      <c r="D653" s="161" t="s">
        <v>281</v>
      </c>
      <c r="E653" s="161" t="s">
        <v>404</v>
      </c>
      <c r="F653" s="161"/>
      <c r="I653" s="162"/>
      <c r="J653" s="162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AD653" s="46"/>
      <c r="AE653" s="46"/>
      <c r="AF653" s="46"/>
      <c r="AH653" s="46"/>
    </row>
    <row r="654" spans="1:34">
      <c r="A654" s="161" t="s">
        <v>544</v>
      </c>
      <c r="B654" s="160" t="s">
        <v>89</v>
      </c>
      <c r="C654" s="161" t="s">
        <v>302</v>
      </c>
      <c r="D654" s="161"/>
      <c r="E654" s="75" t="s">
        <v>90</v>
      </c>
      <c r="F654" s="161"/>
      <c r="I654" s="162"/>
      <c r="J654" s="162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AD654" s="46"/>
      <c r="AE654" s="46"/>
      <c r="AF654" s="46"/>
      <c r="AH654" s="46"/>
    </row>
    <row r="655" spans="1:34">
      <c r="A655" s="12"/>
      <c r="B655" s="12"/>
      <c r="C655" s="12"/>
      <c r="D655" s="12"/>
      <c r="E655" s="12"/>
      <c r="F655" s="12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AD655" s="46"/>
      <c r="AE655" s="46"/>
      <c r="AF655" s="46"/>
      <c r="AH655" s="46"/>
    </row>
    <row r="656" spans="1:34" ht="13.5">
      <c r="A656" s="55" t="s">
        <v>465</v>
      </c>
      <c r="B656" s="163">
        <v>491620</v>
      </c>
      <c r="C656" s="164">
        <v>63353</v>
      </c>
      <c r="D656" s="164"/>
      <c r="E656" s="164">
        <f>SUM(B656+C656)</f>
        <v>554973</v>
      </c>
      <c r="F656" s="164"/>
      <c r="I656" s="165"/>
      <c r="J656" s="165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AA656" s="46" t="s">
        <v>544</v>
      </c>
      <c r="AD656" s="46"/>
      <c r="AE656" s="46"/>
      <c r="AF656" s="46"/>
      <c r="AH656" s="46"/>
    </row>
    <row r="657" spans="1:34" ht="13.5">
      <c r="A657" s="55" t="s">
        <v>466</v>
      </c>
      <c r="B657" s="163">
        <v>1231957</v>
      </c>
      <c r="C657" s="164">
        <v>89930</v>
      </c>
      <c r="D657" s="164"/>
      <c r="E657" s="164">
        <f t="shared" ref="E657" si="35">SUM(B657+C657)</f>
        <v>1321887</v>
      </c>
      <c r="F657" s="164"/>
      <c r="I657" s="165"/>
      <c r="J657" s="165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AA657" s="46" t="s">
        <v>544</v>
      </c>
      <c r="AD657" s="46"/>
      <c r="AE657" s="46"/>
      <c r="AF657" s="46"/>
      <c r="AH657" s="46"/>
    </row>
    <row r="658" spans="1:34" ht="13.5">
      <c r="A658" s="55" t="s">
        <v>467</v>
      </c>
      <c r="B658" s="163">
        <v>407552</v>
      </c>
      <c r="C658" s="164">
        <v>0</v>
      </c>
      <c r="D658" s="164">
        <v>128440</v>
      </c>
      <c r="E658" s="164">
        <f>SUM(B658+C658+D658)</f>
        <v>535992</v>
      </c>
      <c r="F658" s="164"/>
      <c r="I658" s="165"/>
      <c r="J658" s="165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AA658" s="46" t="s">
        <v>544</v>
      </c>
      <c r="AD658" s="46"/>
      <c r="AE658" s="46"/>
      <c r="AF658" s="46"/>
      <c r="AH658" s="46"/>
    </row>
    <row r="659" spans="1:34" ht="13.5">
      <c r="A659" s="55" t="s">
        <v>416</v>
      </c>
      <c r="B659" s="163">
        <v>183860</v>
      </c>
      <c r="C659" s="164">
        <v>0</v>
      </c>
      <c r="D659" s="164"/>
      <c r="E659" s="164">
        <f t="shared" ref="E659:E663" si="36">SUM(B659+C659+D659)</f>
        <v>183860</v>
      </c>
      <c r="F659" s="164"/>
      <c r="I659" s="165"/>
      <c r="J659" s="165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AA659" s="46" t="s">
        <v>544</v>
      </c>
      <c r="AD659" s="46"/>
      <c r="AE659" s="46"/>
      <c r="AF659" s="46"/>
      <c r="AH659" s="46"/>
    </row>
    <row r="660" spans="1:34" ht="13.5">
      <c r="A660" s="55" t="s">
        <v>594</v>
      </c>
      <c r="B660" s="163">
        <v>9445076.7200000007</v>
      </c>
      <c r="C660" s="164">
        <v>0</v>
      </c>
      <c r="D660" s="164"/>
      <c r="E660" s="164">
        <f t="shared" si="36"/>
        <v>9445076.7200000007</v>
      </c>
      <c r="F660" s="164"/>
      <c r="I660" s="165"/>
      <c r="J660" s="165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AA660" s="46" t="s">
        <v>544</v>
      </c>
      <c r="AD660" s="46"/>
      <c r="AE660" s="46"/>
      <c r="AF660" s="46"/>
      <c r="AH660" s="46"/>
    </row>
    <row r="661" spans="1:34" ht="13.5">
      <c r="A661" s="55" t="s">
        <v>468</v>
      </c>
      <c r="B661" s="163">
        <v>65970</v>
      </c>
      <c r="C661" s="164">
        <v>0</v>
      </c>
      <c r="D661" s="164"/>
      <c r="E661" s="164">
        <f t="shared" si="36"/>
        <v>65970</v>
      </c>
      <c r="F661" s="164"/>
      <c r="I661" s="165"/>
      <c r="J661" s="165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AA661" s="46" t="s">
        <v>544</v>
      </c>
      <c r="AD661" s="46"/>
      <c r="AE661" s="46"/>
      <c r="AF661" s="46"/>
      <c r="AH661" s="46"/>
    </row>
    <row r="662" spans="1:34" ht="13.5">
      <c r="A662" s="55" t="s">
        <v>280</v>
      </c>
      <c r="B662" s="163">
        <v>446269.9</v>
      </c>
      <c r="C662" s="164">
        <v>0</v>
      </c>
      <c r="D662" s="164"/>
      <c r="E662" s="164">
        <f t="shared" si="36"/>
        <v>446269.9</v>
      </c>
      <c r="F662" s="164"/>
      <c r="I662" s="165"/>
      <c r="J662" s="165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AA662" s="46" t="s">
        <v>544</v>
      </c>
      <c r="AD662" s="46"/>
      <c r="AE662" s="46"/>
      <c r="AF662" s="46"/>
      <c r="AH662" s="46"/>
    </row>
    <row r="663" spans="1:34" ht="13.5">
      <c r="A663" s="55" t="s">
        <v>469</v>
      </c>
      <c r="B663" s="163">
        <v>503500</v>
      </c>
      <c r="C663" s="164">
        <v>0</v>
      </c>
      <c r="D663" s="164"/>
      <c r="E663" s="164">
        <f t="shared" si="36"/>
        <v>503500</v>
      </c>
      <c r="F663" s="164"/>
      <c r="I663" s="165"/>
      <c r="J663" s="165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AA663" s="46" t="s">
        <v>544</v>
      </c>
      <c r="AD663" s="46"/>
      <c r="AE663" s="46"/>
      <c r="AF663" s="46"/>
      <c r="AH663" s="46"/>
    </row>
    <row r="664" spans="1:34">
      <c r="A664" s="12"/>
      <c r="B664" s="12"/>
      <c r="C664" s="71"/>
      <c r="D664" s="71"/>
      <c r="E664" s="164"/>
      <c r="F664" s="71"/>
      <c r="I664" s="71"/>
      <c r="J664" s="71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AD664" s="46"/>
      <c r="AE664" s="46"/>
      <c r="AF664" s="46"/>
      <c r="AH664" s="46"/>
    </row>
    <row r="665" spans="1:34" ht="14.25" thickBot="1">
      <c r="A665" s="166" t="s">
        <v>597</v>
      </c>
      <c r="B665" s="167">
        <f>SUM(B656:B664)</f>
        <v>12775805.620000001</v>
      </c>
      <c r="C665" s="167">
        <f>SUM(C656:C664)</f>
        <v>153283</v>
      </c>
      <c r="D665" s="167">
        <f>SUM(D656:D664)</f>
        <v>128440</v>
      </c>
      <c r="E665" s="168">
        <f>SUM(E656:E664)</f>
        <v>13057528.620000001</v>
      </c>
      <c r="F665" s="167"/>
      <c r="I665" s="169"/>
      <c r="J665" s="170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AA665" s="106"/>
      <c r="AB665" s="106"/>
      <c r="AD665" s="46"/>
      <c r="AE665" s="46"/>
      <c r="AF665" s="46"/>
      <c r="AH665" s="46"/>
    </row>
    <row r="666" spans="1:34" ht="13.5" thickTop="1">
      <c r="A666" s="166" t="s">
        <v>544</v>
      </c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49"/>
      <c r="Z666" s="149"/>
      <c r="AD666" s="46"/>
      <c r="AE666" s="46"/>
      <c r="AF666" s="46"/>
      <c r="AH666" s="46"/>
    </row>
    <row r="667" spans="1:34">
      <c r="A667" s="30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AD667" s="46"/>
      <c r="AE667" s="46"/>
      <c r="AF667" s="46"/>
      <c r="AH667" s="46"/>
    </row>
    <row r="668" spans="1:34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AD668" s="46"/>
      <c r="AE668" s="46"/>
      <c r="AF668" s="46"/>
      <c r="AH668" s="46"/>
    </row>
    <row r="669" spans="1:34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46"/>
      <c r="W669" s="46"/>
      <c r="AD669" s="46"/>
      <c r="AE669" s="46"/>
      <c r="AF669" s="46"/>
      <c r="AH669" s="46"/>
    </row>
    <row r="670" spans="1:34" ht="15.75">
      <c r="A670" s="24"/>
      <c r="B670" s="13"/>
      <c r="C670" s="36" t="s">
        <v>934</v>
      </c>
      <c r="D670" s="36"/>
      <c r="E670" s="144"/>
      <c r="F670" s="144"/>
      <c r="G670" s="144"/>
      <c r="H670" s="144"/>
      <c r="I670" s="144"/>
      <c r="J670" s="144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AD670" s="46"/>
      <c r="AE670" s="46"/>
      <c r="AF670" s="46"/>
      <c r="AH670" s="46"/>
    </row>
    <row r="671" spans="1:34">
      <c r="A671" s="24"/>
      <c r="B671" s="13"/>
      <c r="C671" s="13"/>
      <c r="D671" s="13"/>
      <c r="E671" s="144"/>
      <c r="F671" s="144"/>
      <c r="G671" s="144"/>
      <c r="H671" s="144"/>
      <c r="I671" s="144"/>
      <c r="J671" s="144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AD671" s="46"/>
      <c r="AE671" s="46"/>
      <c r="AF671" s="46"/>
      <c r="AH671" s="46"/>
    </row>
    <row r="672" spans="1:34">
      <c r="A672" s="24"/>
      <c r="B672" s="12"/>
      <c r="C672" s="12"/>
      <c r="D672" s="12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AD672" s="46"/>
      <c r="AE672" s="46"/>
      <c r="AF672" s="46"/>
      <c r="AH672" s="46"/>
    </row>
    <row r="673" spans="1:39">
      <c r="A673" s="66" t="s">
        <v>273</v>
      </c>
      <c r="B673" s="12"/>
      <c r="C673" s="12"/>
      <c r="D673" s="12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AD673" s="46"/>
      <c r="AE673" s="46"/>
      <c r="AF673" s="46"/>
      <c r="AH673" s="46"/>
    </row>
    <row r="674" spans="1:39">
      <c r="A674" s="66"/>
      <c r="B674" s="74" t="s">
        <v>542</v>
      </c>
      <c r="C674" s="74" t="s">
        <v>543</v>
      </c>
      <c r="D674" s="74"/>
      <c r="E674" s="112"/>
      <c r="F674" s="112"/>
      <c r="G674" s="112"/>
      <c r="H674" s="112"/>
      <c r="I674" s="112"/>
      <c r="J674" s="112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AD674" s="46"/>
      <c r="AE674" s="46"/>
      <c r="AF674" s="46"/>
      <c r="AH674" s="46"/>
    </row>
    <row r="675" spans="1:39">
      <c r="A675" s="60" t="s">
        <v>544</v>
      </c>
      <c r="B675" s="74" t="s">
        <v>83</v>
      </c>
      <c r="C675" s="74" t="s">
        <v>537</v>
      </c>
      <c r="D675" s="74"/>
      <c r="E675" s="112"/>
      <c r="F675" s="112"/>
      <c r="G675" s="112"/>
      <c r="H675" s="112"/>
      <c r="I675" s="112"/>
      <c r="J675" s="112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AD675" s="46"/>
      <c r="AE675" s="46"/>
      <c r="AF675" s="46"/>
      <c r="AH675" s="46"/>
    </row>
    <row r="676" spans="1:39">
      <c r="A676" s="24"/>
      <c r="B676" s="146"/>
      <c r="C676" s="146"/>
      <c r="D676" s="146"/>
      <c r="E676" s="147"/>
      <c r="F676" s="147"/>
      <c r="G676" s="147"/>
      <c r="H676" s="147"/>
      <c r="I676" s="147"/>
      <c r="J676" s="147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AD676" s="46"/>
      <c r="AE676" s="46"/>
      <c r="AF676" s="46"/>
      <c r="AH676" s="46"/>
    </row>
    <row r="677" spans="1:39">
      <c r="A677" s="24" t="s">
        <v>86</v>
      </c>
      <c r="B677" s="12">
        <v>138778000</v>
      </c>
      <c r="C677" s="24">
        <f>'[1]asset sch'!$B$299</f>
        <v>138778000</v>
      </c>
      <c r="D677" s="24"/>
      <c r="E677" s="12"/>
      <c r="F677" s="12"/>
      <c r="G677" s="12"/>
      <c r="H677" s="12"/>
      <c r="I677" s="12"/>
      <c r="J677" s="12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AD677" s="46"/>
      <c r="AE677" s="46"/>
      <c r="AF677" s="46"/>
      <c r="AH677" s="46"/>
    </row>
    <row r="678" spans="1:39">
      <c r="A678" s="24"/>
      <c r="B678" s="12"/>
      <c r="C678" s="24"/>
      <c r="D678" s="24"/>
      <c r="E678" s="12"/>
      <c r="F678" s="12"/>
      <c r="G678" s="12"/>
      <c r="H678" s="12"/>
      <c r="I678" s="12"/>
      <c r="J678" s="12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AD678" s="46"/>
      <c r="AE678" s="46"/>
      <c r="AF678" s="46"/>
      <c r="AH678" s="46"/>
    </row>
    <row r="679" spans="1:39">
      <c r="A679" s="24"/>
      <c r="B679" s="12"/>
      <c r="C679" s="24"/>
      <c r="D679" s="24"/>
      <c r="E679" s="12"/>
      <c r="F679" s="12"/>
      <c r="G679" s="12"/>
      <c r="H679" s="12"/>
      <c r="I679" s="12"/>
      <c r="J679" s="12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AD679" s="46"/>
      <c r="AE679" s="46"/>
      <c r="AF679" s="46"/>
      <c r="AH679" s="46"/>
    </row>
    <row r="680" spans="1:39">
      <c r="A680" s="24" t="s">
        <v>470</v>
      </c>
      <c r="B680" s="12">
        <v>-16828000</v>
      </c>
      <c r="C680" s="24">
        <f>'[1]asset sch'!$B$305</f>
        <v>0</v>
      </c>
      <c r="D680" s="24"/>
      <c r="E680" s="12"/>
      <c r="F680" s="12"/>
      <c r="G680" s="12"/>
      <c r="H680" s="12"/>
      <c r="I680" s="12"/>
      <c r="J680" s="12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AD680" s="46"/>
      <c r="AE680" s="46"/>
      <c r="AF680" s="46"/>
      <c r="AH680" s="46"/>
    </row>
    <row r="681" spans="1:39">
      <c r="A681" s="24" t="s">
        <v>305</v>
      </c>
      <c r="B681" s="12"/>
      <c r="C681" s="24"/>
      <c r="D681" s="24"/>
      <c r="E681" s="12"/>
      <c r="F681" s="12"/>
      <c r="G681" s="12"/>
      <c r="H681" s="12"/>
      <c r="I681" s="12"/>
      <c r="J681" s="12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AD681" s="46"/>
      <c r="AE681" s="46"/>
      <c r="AF681" s="46"/>
      <c r="AH681" s="46"/>
    </row>
    <row r="682" spans="1:39">
      <c r="A682" s="24"/>
      <c r="B682" s="12"/>
      <c r="C682" s="24"/>
      <c r="D682" s="24"/>
      <c r="E682" s="12"/>
      <c r="F682" s="12"/>
      <c r="G682" s="12"/>
      <c r="H682" s="12"/>
      <c r="I682" s="12"/>
      <c r="J682" s="12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AD682" s="46"/>
      <c r="AE682" s="46"/>
      <c r="AF682" s="46"/>
      <c r="AH682" s="46"/>
    </row>
    <row r="683" spans="1:39">
      <c r="A683" s="60" t="s">
        <v>151</v>
      </c>
      <c r="B683" s="171">
        <f>SUM(B677:B681)</f>
        <v>121950000</v>
      </c>
      <c r="C683" s="60">
        <f>SUM(C677:C681)</f>
        <v>138778000</v>
      </c>
      <c r="D683" s="60"/>
      <c r="E683" s="171"/>
      <c r="F683" s="171"/>
      <c r="G683" s="171"/>
      <c r="H683" s="171"/>
      <c r="I683" s="171"/>
      <c r="J683" s="171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AD683" s="46"/>
      <c r="AE683" s="46"/>
      <c r="AF683" s="46"/>
      <c r="AH683" s="46"/>
    </row>
    <row r="684" spans="1:39" ht="13.5" thickBot="1">
      <c r="A684" s="144" t="s">
        <v>544</v>
      </c>
      <c r="B684" s="81" t="s">
        <v>544</v>
      </c>
      <c r="C684" s="81" t="s">
        <v>293</v>
      </c>
      <c r="D684" s="81"/>
      <c r="E684" s="81"/>
      <c r="F684" s="81"/>
      <c r="G684" s="81"/>
      <c r="H684" s="81"/>
      <c r="I684" s="81"/>
      <c r="J684" s="107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AD684" s="46"/>
      <c r="AE684" s="46"/>
      <c r="AF684" s="46"/>
      <c r="AH684" s="46"/>
    </row>
    <row r="685" spans="1:39" ht="13.5" thickTop="1">
      <c r="A685" s="144" t="s">
        <v>544</v>
      </c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46"/>
      <c r="S685" s="46"/>
      <c r="T685" s="46"/>
      <c r="U685" s="46"/>
      <c r="V685" s="46"/>
      <c r="W685" s="46"/>
      <c r="AD685" s="46"/>
      <c r="AE685" s="46"/>
      <c r="AF685" s="46"/>
      <c r="AH685" s="46"/>
    </row>
    <row r="686" spans="1:39"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18">
        <f>SUM(E604+E596+E586+E574+E564+E553+E608)</f>
        <v>2190223.52</v>
      </c>
      <c r="W686" s="18"/>
      <c r="X686" s="18">
        <f>SUM(I604+I596+I586+I574+I564+I553+I608)</f>
        <v>117</v>
      </c>
      <c r="Y686" s="18">
        <f>SUM(K604+K596+K586+K574+K564+K553+K608)</f>
        <v>20027</v>
      </c>
      <c r="Z686" s="18"/>
      <c r="AA686" s="18">
        <f>SUM(S604+S596+S586+S574+S564+S553+S608)</f>
        <v>475549</v>
      </c>
      <c r="AB686" s="18"/>
      <c r="AC686" s="18">
        <f>SUM(U604+U596+U586+U574+U564+U553+U608)</f>
        <v>0</v>
      </c>
      <c r="AD686" s="18">
        <f>SUM(V604+V596+V586+V574+V564+V553+V608)</f>
        <v>910311057.85000002</v>
      </c>
      <c r="AE686" s="18">
        <f>SUM(W604+W596+W586+W574+W564+W553+W608)</f>
        <v>0</v>
      </c>
      <c r="AF686" s="18"/>
      <c r="AG686" s="18">
        <f t="shared" ref="AG686:AL686" si="37">SUM(X604+X596+X586+X574+X564+X553+X608)</f>
        <v>0</v>
      </c>
      <c r="AH686" s="18">
        <f t="shared" si="37"/>
        <v>1131287.6000000001</v>
      </c>
      <c r="AI686" s="18">
        <f t="shared" si="37"/>
        <v>1800</v>
      </c>
      <c r="AJ686" s="18">
        <f t="shared" si="37"/>
        <v>12854800</v>
      </c>
      <c r="AK686" s="18">
        <f t="shared" si="37"/>
        <v>0</v>
      </c>
      <c r="AL686" s="18">
        <f t="shared" si="37"/>
        <v>926984861.97000003</v>
      </c>
      <c r="AM686" s="18" t="s">
        <v>544</v>
      </c>
    </row>
    <row r="687" spans="1:39"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AD687" s="46"/>
      <c r="AE687" s="46"/>
      <c r="AF687" s="46"/>
      <c r="AH687" s="46"/>
      <c r="AL687" s="30">
        <v>54919698.840000004</v>
      </c>
    </row>
    <row r="688" spans="1:39"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AD688" s="46"/>
      <c r="AE688" s="46"/>
      <c r="AF688" s="46"/>
      <c r="AH688" s="46"/>
    </row>
    <row r="689" spans="1:34"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AD689" s="46"/>
      <c r="AE689" s="46"/>
      <c r="AF689" s="46"/>
      <c r="AH689" s="46"/>
    </row>
    <row r="690" spans="1:34"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AD690" s="46"/>
      <c r="AE690" s="46"/>
      <c r="AF690" s="46"/>
      <c r="AH690" s="46"/>
    </row>
    <row r="691" spans="1:34"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AD691" s="46"/>
      <c r="AE691" s="46"/>
      <c r="AF691" s="46"/>
      <c r="AH691" s="46"/>
    </row>
    <row r="692" spans="1:34"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AD692" s="46"/>
      <c r="AE692" s="46"/>
      <c r="AF692" s="46"/>
      <c r="AH692" s="46"/>
    </row>
    <row r="693" spans="1:34">
      <c r="B693" s="46" t="s">
        <v>544</v>
      </c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144" t="s">
        <v>544</v>
      </c>
      <c r="V693" s="46"/>
      <c r="W693" s="46"/>
      <c r="AD693" s="46"/>
      <c r="AE693" s="46"/>
      <c r="AF693" s="46"/>
      <c r="AH693" s="46"/>
    </row>
    <row r="694" spans="1:34">
      <c r="B694" s="46" t="s">
        <v>544</v>
      </c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AD694" s="46"/>
      <c r="AE694" s="46"/>
      <c r="AF694" s="46"/>
      <c r="AH694" s="46"/>
    </row>
    <row r="695" spans="1:34"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AD695" s="46"/>
      <c r="AE695" s="46"/>
      <c r="AF695" s="46"/>
      <c r="AH695" s="46"/>
    </row>
    <row r="696" spans="1:34">
      <c r="A696" s="12"/>
      <c r="B696" s="12"/>
      <c r="C696" s="12" t="s">
        <v>418</v>
      </c>
      <c r="D696" s="12"/>
      <c r="E696" s="12"/>
      <c r="F696" s="12"/>
      <c r="G696" s="75" t="s">
        <v>935</v>
      </c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AD696" s="46"/>
      <c r="AE696" s="46"/>
      <c r="AF696" s="46"/>
      <c r="AH696" s="46"/>
    </row>
    <row r="697" spans="1:34">
      <c r="A697" s="16" t="s">
        <v>539</v>
      </c>
      <c r="B697" s="12"/>
      <c r="C697" s="12"/>
      <c r="D697" s="12"/>
      <c r="E697" s="12"/>
      <c r="F697" s="12"/>
      <c r="G697" s="12"/>
      <c r="H697" s="12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AD697" s="46"/>
      <c r="AE697" s="46"/>
      <c r="AF697" s="46"/>
      <c r="AH697" s="46"/>
    </row>
    <row r="698" spans="1:34">
      <c r="A698" s="12"/>
      <c r="B698" s="12"/>
      <c r="C698" s="12"/>
      <c r="D698" s="12"/>
      <c r="E698" s="12"/>
      <c r="F698" s="12"/>
      <c r="G698" s="12"/>
      <c r="H698" s="12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AD698" s="46"/>
      <c r="AE698" s="46"/>
      <c r="AF698" s="46"/>
      <c r="AH698" s="46"/>
    </row>
    <row r="699" spans="1:34">
      <c r="A699" s="12"/>
      <c r="B699" s="172" t="s">
        <v>471</v>
      </c>
      <c r="C699" s="172" t="s">
        <v>472</v>
      </c>
      <c r="D699" s="172" t="s">
        <v>456</v>
      </c>
      <c r="E699" s="172" t="s">
        <v>719</v>
      </c>
      <c r="F699" s="172" t="s">
        <v>679</v>
      </c>
      <c r="G699" s="172" t="s">
        <v>473</v>
      </c>
      <c r="I699" s="173"/>
      <c r="J699" s="173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AD699" s="46"/>
      <c r="AE699" s="46"/>
      <c r="AF699" s="46"/>
      <c r="AH699" s="46"/>
    </row>
    <row r="700" spans="1:34">
      <c r="A700" s="13" t="s">
        <v>19</v>
      </c>
      <c r="B700" s="172" t="s">
        <v>120</v>
      </c>
      <c r="C700" s="172" t="s">
        <v>322</v>
      </c>
      <c r="D700" s="172" t="s">
        <v>440</v>
      </c>
      <c r="E700" s="172" t="s">
        <v>682</v>
      </c>
      <c r="F700" s="172" t="s">
        <v>680</v>
      </c>
      <c r="G700" s="172" t="s">
        <v>474</v>
      </c>
      <c r="I700" s="173"/>
      <c r="J700" s="173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AD700" s="46"/>
      <c r="AE700" s="46"/>
      <c r="AF700" s="46"/>
      <c r="AH700" s="46"/>
    </row>
    <row r="701" spans="1:34">
      <c r="A701" s="13"/>
      <c r="B701" s="172"/>
      <c r="C701" s="172" t="s">
        <v>302</v>
      </c>
      <c r="D701" s="172"/>
      <c r="E701" s="172" t="s">
        <v>683</v>
      </c>
      <c r="F701" s="172" t="s">
        <v>681</v>
      </c>
      <c r="G701" s="172" t="s">
        <v>92</v>
      </c>
      <c r="I701" s="173"/>
      <c r="J701" s="173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AD701" s="46"/>
      <c r="AE701" s="46"/>
      <c r="AF701" s="46"/>
      <c r="AH701" s="46"/>
    </row>
    <row r="702" spans="1:34">
      <c r="A702" s="13"/>
      <c r="B702" s="12"/>
      <c r="C702" s="12"/>
      <c r="D702" s="12"/>
      <c r="E702" s="12"/>
      <c r="F702" s="12"/>
      <c r="G702" s="12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AD702" s="46"/>
      <c r="AE702" s="46"/>
      <c r="AF702" s="46"/>
      <c r="AH702" s="46"/>
    </row>
    <row r="703" spans="1:34">
      <c r="A703" s="12"/>
      <c r="B703" s="12"/>
      <c r="C703" s="12"/>
      <c r="D703" s="12"/>
      <c r="E703" s="12"/>
      <c r="F703" s="12"/>
      <c r="G703" s="12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AD703" s="46"/>
      <c r="AE703" s="46"/>
      <c r="AF703" s="46"/>
      <c r="AH703" s="46"/>
    </row>
    <row r="704" spans="1:34">
      <c r="A704" s="12"/>
      <c r="B704" s="12"/>
      <c r="C704" s="12"/>
      <c r="D704" s="12"/>
      <c r="E704" s="12"/>
      <c r="F704" s="12"/>
      <c r="G704" s="12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AD704" s="46"/>
      <c r="AE704" s="46"/>
      <c r="AF704" s="46"/>
      <c r="AH704" s="46"/>
    </row>
    <row r="705" spans="1:34">
      <c r="A705" s="16" t="s">
        <v>475</v>
      </c>
      <c r="B705" s="12" t="s">
        <v>544</v>
      </c>
      <c r="C705" s="12" t="s">
        <v>544</v>
      </c>
      <c r="D705" s="12" t="s">
        <v>544</v>
      </c>
      <c r="E705" s="12" t="s">
        <v>544</v>
      </c>
      <c r="F705" s="12"/>
      <c r="G705" s="12" t="s">
        <v>544</v>
      </c>
      <c r="I705" s="12"/>
      <c r="J705" s="12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AD705" s="46"/>
      <c r="AE705" s="46"/>
      <c r="AF705" s="46"/>
      <c r="AH705" s="46"/>
    </row>
    <row r="706" spans="1:34">
      <c r="A706" s="12" t="s">
        <v>326</v>
      </c>
      <c r="B706" s="12">
        <v>300000</v>
      </c>
      <c r="C706" s="12">
        <v>337565</v>
      </c>
      <c r="D706" s="12">
        <v>-300000</v>
      </c>
      <c r="E706" s="12">
        <v>0</v>
      </c>
      <c r="F706" s="12">
        <v>0</v>
      </c>
      <c r="G706" s="12">
        <f>SUM(B706:F706)</f>
        <v>337565</v>
      </c>
      <c r="I706" s="12"/>
      <c r="J706" s="12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AD706" s="46"/>
      <c r="AE706" s="46"/>
      <c r="AF706" s="46"/>
      <c r="AH706" s="46"/>
    </row>
    <row r="707" spans="1:34">
      <c r="A707" s="12" t="s">
        <v>332</v>
      </c>
      <c r="B707" s="12">
        <v>74120</v>
      </c>
      <c r="C707" s="12"/>
      <c r="D707" s="12">
        <v>-74120</v>
      </c>
      <c r="E707" s="12">
        <v>0</v>
      </c>
      <c r="F707" s="12">
        <v>0</v>
      </c>
      <c r="G707" s="12">
        <f>SUM(B707:D707)</f>
        <v>0</v>
      </c>
      <c r="I707" s="12"/>
      <c r="J707" s="12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AD707" s="46"/>
      <c r="AE707" s="46"/>
      <c r="AF707" s="46"/>
      <c r="AH707" s="46"/>
    </row>
    <row r="708" spans="1:34">
      <c r="A708" s="12" t="s">
        <v>573</v>
      </c>
      <c r="B708" s="12">
        <v>100000</v>
      </c>
      <c r="C708" s="12">
        <v>100000</v>
      </c>
      <c r="D708" s="12">
        <v>0</v>
      </c>
      <c r="E708" s="12">
        <v>0</v>
      </c>
      <c r="F708" s="12">
        <v>-100000</v>
      </c>
      <c r="G708" s="12">
        <f>SUM(B708:F708)</f>
        <v>100000</v>
      </c>
      <c r="I708" s="12"/>
      <c r="J708" s="12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AD708" s="46"/>
      <c r="AE708" s="46"/>
      <c r="AF708" s="46"/>
      <c r="AH708" s="46"/>
    </row>
    <row r="709" spans="1:34">
      <c r="A709" s="12" t="s">
        <v>476</v>
      </c>
      <c r="B709" s="12">
        <v>0</v>
      </c>
      <c r="C709" s="12">
        <v>101500</v>
      </c>
      <c r="D709" s="12">
        <v>0</v>
      </c>
      <c r="E709" s="12">
        <v>0</v>
      </c>
      <c r="F709" s="12">
        <v>0</v>
      </c>
      <c r="G709" s="12">
        <f>SUM(B709:F709)</f>
        <v>101500</v>
      </c>
      <c r="I709" s="12"/>
      <c r="J709" s="12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AD709" s="46"/>
      <c r="AE709" s="46"/>
      <c r="AF709" s="46"/>
      <c r="AH709" s="46"/>
    </row>
    <row r="710" spans="1:34">
      <c r="A710" s="12" t="s">
        <v>329</v>
      </c>
      <c r="B710" s="12"/>
      <c r="C710" s="12">
        <v>1345000</v>
      </c>
      <c r="D710" s="12"/>
      <c r="E710" s="12">
        <v>0</v>
      </c>
      <c r="F710" s="12">
        <v>0</v>
      </c>
      <c r="G710" s="12">
        <f>SUM(B710:D710)</f>
        <v>1345000</v>
      </c>
      <c r="I710" s="12"/>
      <c r="J710" s="12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AD710" s="46"/>
      <c r="AE710" s="46"/>
      <c r="AF710" s="46"/>
      <c r="AH710" s="46"/>
    </row>
    <row r="711" spans="1:34">
      <c r="A711" s="12" t="s">
        <v>477</v>
      </c>
      <c r="B711" s="12">
        <v>965000</v>
      </c>
      <c r="C711" s="12">
        <v>765000</v>
      </c>
      <c r="D711" s="12">
        <v>0</v>
      </c>
      <c r="E711" s="12">
        <v>-43555</v>
      </c>
      <c r="F711" s="12">
        <v>-415272</v>
      </c>
      <c r="G711" s="12">
        <f>SUM(B711:F711)</f>
        <v>1271173</v>
      </c>
      <c r="I711" s="12"/>
      <c r="J711" s="12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AD711" s="46"/>
      <c r="AE711" s="46"/>
      <c r="AF711" s="46"/>
      <c r="AH711" s="46"/>
    </row>
    <row r="712" spans="1:34">
      <c r="A712" s="12" t="s">
        <v>544</v>
      </c>
      <c r="B712" s="12"/>
      <c r="C712" s="12"/>
      <c r="D712" s="12"/>
      <c r="E712" s="12"/>
      <c r="F712" s="12"/>
      <c r="G712" s="12" t="s">
        <v>544</v>
      </c>
      <c r="I712" s="12"/>
      <c r="J712" s="12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AD712" s="46"/>
      <c r="AE712" s="46"/>
      <c r="AF712" s="46"/>
      <c r="AH712" s="46"/>
    </row>
    <row r="713" spans="1:34">
      <c r="A713" s="12"/>
      <c r="B713" s="12"/>
      <c r="C713" s="12"/>
      <c r="D713" s="12"/>
      <c r="E713" s="12"/>
      <c r="F713" s="12"/>
      <c r="G713" s="12"/>
      <c r="I713" s="12"/>
      <c r="J713" s="12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AD713" s="46"/>
      <c r="AE713" s="46"/>
      <c r="AF713" s="46"/>
      <c r="AH713" s="46"/>
    </row>
    <row r="714" spans="1:34">
      <c r="A714" s="16" t="s">
        <v>478</v>
      </c>
      <c r="B714" s="12"/>
      <c r="C714" s="12"/>
      <c r="D714" s="12"/>
      <c r="E714" s="12"/>
      <c r="F714" s="12"/>
      <c r="G714" s="12"/>
      <c r="I714" s="12"/>
      <c r="J714" s="12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AD714" s="46"/>
      <c r="AE714" s="46"/>
      <c r="AF714" s="46"/>
      <c r="AH714" s="46"/>
    </row>
    <row r="715" spans="1:34">
      <c r="A715" s="16" t="s">
        <v>479</v>
      </c>
      <c r="B715" s="12"/>
      <c r="C715" s="12"/>
      <c r="D715" s="12"/>
      <c r="E715" s="12"/>
      <c r="F715" s="12"/>
      <c r="G715" s="12"/>
      <c r="I715" s="12"/>
      <c r="J715" s="12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AD715" s="46"/>
      <c r="AE715" s="46"/>
      <c r="AF715" s="46"/>
      <c r="AH715" s="46"/>
    </row>
    <row r="716" spans="1:34">
      <c r="A716" s="12" t="s">
        <v>480</v>
      </c>
      <c r="B716" s="12">
        <v>400000</v>
      </c>
      <c r="C716" s="12">
        <v>0</v>
      </c>
      <c r="D716" s="12">
        <v>0</v>
      </c>
      <c r="E716" s="12">
        <v>0</v>
      </c>
      <c r="F716" s="12">
        <v>0</v>
      </c>
      <c r="G716" s="12">
        <f>SUM(B716:D716)</f>
        <v>400000</v>
      </c>
      <c r="I716" s="12"/>
      <c r="J716" s="12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AD716" s="46"/>
      <c r="AE716" s="46"/>
      <c r="AF716" s="46"/>
      <c r="AH716" s="46"/>
    </row>
    <row r="717" spans="1:34">
      <c r="A717" s="12" t="s">
        <v>481</v>
      </c>
      <c r="B717" s="12" t="s">
        <v>544</v>
      </c>
      <c r="C717" s="12" t="s">
        <v>544</v>
      </c>
      <c r="D717" s="12" t="s">
        <v>544</v>
      </c>
      <c r="E717" s="12" t="s">
        <v>544</v>
      </c>
      <c r="F717" s="12"/>
      <c r="G717" s="12" t="s">
        <v>544</v>
      </c>
      <c r="I717" s="12"/>
      <c r="J717" s="12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AD717" s="46"/>
      <c r="AE717" s="46"/>
      <c r="AF717" s="46"/>
      <c r="AH717" s="46"/>
    </row>
    <row r="718" spans="1:34">
      <c r="A718" s="12" t="s">
        <v>482</v>
      </c>
      <c r="B718" s="12">
        <v>127500</v>
      </c>
      <c r="C718" s="12">
        <v>0</v>
      </c>
      <c r="D718" s="12">
        <v>0</v>
      </c>
      <c r="E718" s="12">
        <v>0</v>
      </c>
      <c r="F718" s="12">
        <v>0</v>
      </c>
      <c r="G718" s="12">
        <f>SUM(B718:F718)</f>
        <v>127500</v>
      </c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AD718" s="46"/>
      <c r="AE718" s="46"/>
      <c r="AF718" s="46"/>
      <c r="AH718" s="46"/>
    </row>
    <row r="719" spans="1:34">
      <c r="A719" s="12"/>
      <c r="B719" s="12"/>
      <c r="C719" s="12"/>
      <c r="D719" s="12"/>
      <c r="E719" s="12"/>
      <c r="F719" s="12"/>
      <c r="G719" s="12"/>
      <c r="I719" s="12"/>
      <c r="J719" s="12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AD719" s="46"/>
      <c r="AE719" s="46"/>
      <c r="AF719" s="46"/>
      <c r="AH719" s="46"/>
    </row>
    <row r="720" spans="1:34" ht="13.5" thickBot="1">
      <c r="A720" s="144" t="s">
        <v>597</v>
      </c>
      <c r="B720" s="81">
        <f t="shared" ref="B720:G720" si="38">SUM(B706:B718)</f>
        <v>1966620</v>
      </c>
      <c r="C720" s="81">
        <f t="shared" si="38"/>
        <v>2649065</v>
      </c>
      <c r="D720" s="81">
        <f t="shared" si="38"/>
        <v>-374120</v>
      </c>
      <c r="E720" s="81">
        <f t="shared" si="38"/>
        <v>-43555</v>
      </c>
      <c r="F720" s="81">
        <f t="shared" si="38"/>
        <v>-515272</v>
      </c>
      <c r="G720" s="81">
        <f t="shared" si="38"/>
        <v>3682738</v>
      </c>
      <c r="I720" s="81"/>
      <c r="J720" s="107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174" t="s">
        <v>544</v>
      </c>
      <c r="W720" s="174"/>
      <c r="AD720" s="46"/>
      <c r="AE720" s="46"/>
      <c r="AF720" s="46"/>
      <c r="AH720" s="46"/>
    </row>
    <row r="721" spans="1:38" ht="13.5" thickTop="1">
      <c r="A721" s="144" t="s">
        <v>544</v>
      </c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46"/>
      <c r="W721" s="46"/>
      <c r="AD721" s="46"/>
      <c r="AE721" s="46"/>
      <c r="AF721" s="46"/>
      <c r="AH721" s="46"/>
    </row>
    <row r="722" spans="1:38"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AD722" s="46"/>
      <c r="AE722" s="46"/>
      <c r="AF722" s="46"/>
      <c r="AH722" s="46"/>
    </row>
    <row r="723" spans="1:38"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AD723" s="46"/>
      <c r="AE723" s="46"/>
      <c r="AF723" s="46"/>
      <c r="AH723" s="46"/>
    </row>
    <row r="724" spans="1:38"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 t="s">
        <v>544</v>
      </c>
      <c r="W724" s="46"/>
      <c r="X724" s="46" t="s">
        <v>544</v>
      </c>
      <c r="Y724" s="46" t="s">
        <v>544</v>
      </c>
      <c r="AA724" s="46" t="s">
        <v>544</v>
      </c>
      <c r="AC724" s="46" t="s">
        <v>544</v>
      </c>
      <c r="AD724" s="46" t="s">
        <v>544</v>
      </c>
      <c r="AE724" s="46" t="s">
        <v>544</v>
      </c>
      <c r="AF724" s="46"/>
      <c r="AG724" s="46" t="s">
        <v>544</v>
      </c>
      <c r="AH724" s="46" t="s">
        <v>544</v>
      </c>
      <c r="AI724" s="46" t="s">
        <v>544</v>
      </c>
      <c r="AJ724" s="46" t="s">
        <v>544</v>
      </c>
      <c r="AK724" s="46" t="s">
        <v>544</v>
      </c>
      <c r="AL724" s="46" t="s">
        <v>544</v>
      </c>
    </row>
    <row r="725" spans="1:38"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 t="s">
        <v>544</v>
      </c>
      <c r="W725" s="46"/>
      <c r="AD725" s="46"/>
      <c r="AE725" s="46"/>
      <c r="AF725" s="46"/>
      <c r="AH725" s="46"/>
    </row>
    <row r="726" spans="1:38"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AD726" s="46"/>
      <c r="AE726" s="46"/>
      <c r="AF726" s="46"/>
      <c r="AH726" s="46"/>
    </row>
    <row r="727" spans="1:38" ht="15.75">
      <c r="A727" s="12"/>
      <c r="B727" s="36" t="s">
        <v>544</v>
      </c>
      <c r="C727" s="36" t="s">
        <v>936</v>
      </c>
      <c r="D727" s="36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8">
      <c r="A728" s="24"/>
      <c r="B728" s="13"/>
      <c r="C728" s="13"/>
      <c r="D728" s="13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8">
      <c r="A729" s="24" t="s">
        <v>544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8">
      <c r="A730" s="66" t="s">
        <v>275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8">
      <c r="A731" s="66"/>
      <c r="B731" s="74" t="s">
        <v>542</v>
      </c>
      <c r="C731" s="75" t="s">
        <v>543</v>
      </c>
      <c r="D731" s="75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 t="s">
        <v>277</v>
      </c>
      <c r="S731" s="12"/>
      <c r="T731" s="12" t="s">
        <v>544</v>
      </c>
      <c r="U731" s="12" t="s">
        <v>277</v>
      </c>
      <c r="V731" s="12"/>
      <c r="W731" s="12" t="s">
        <v>277</v>
      </c>
      <c r="X731" s="12"/>
      <c r="Y731" s="12" t="s">
        <v>277</v>
      </c>
      <c r="Z731" s="12" t="s">
        <v>277</v>
      </c>
      <c r="AA731" s="12" t="s">
        <v>544</v>
      </c>
      <c r="AB731" s="12" t="s">
        <v>277</v>
      </c>
      <c r="AC731" s="12" t="s">
        <v>483</v>
      </c>
      <c r="AD731" s="12" t="s">
        <v>277</v>
      </c>
      <c r="AE731" s="12" t="s">
        <v>277</v>
      </c>
      <c r="AF731" s="12"/>
      <c r="AG731" s="12" t="s">
        <v>544</v>
      </c>
      <c r="AH731" s="12" t="s">
        <v>544</v>
      </c>
      <c r="AI731" s="12" t="s">
        <v>544</v>
      </c>
      <c r="AJ731" s="46" t="s">
        <v>544</v>
      </c>
      <c r="AK731" s="46" t="s">
        <v>544</v>
      </c>
    </row>
    <row r="732" spans="1:38">
      <c r="A732" s="60" t="s">
        <v>544</v>
      </c>
      <c r="B732" s="74" t="s">
        <v>83</v>
      </c>
      <c r="C732" s="74" t="s">
        <v>537</v>
      </c>
      <c r="D732" s="74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 t="s">
        <v>18</v>
      </c>
      <c r="S732" s="12"/>
      <c r="T732" s="12" t="s">
        <v>484</v>
      </c>
      <c r="U732" s="12" t="s">
        <v>23</v>
      </c>
      <c r="V732" s="12"/>
      <c r="W732" s="12" t="s">
        <v>250</v>
      </c>
      <c r="X732" s="12" t="s">
        <v>560</v>
      </c>
      <c r="Y732" s="12" t="s">
        <v>437</v>
      </c>
      <c r="Z732" s="12" t="s">
        <v>58</v>
      </c>
      <c r="AA732" s="12" t="s">
        <v>22</v>
      </c>
      <c r="AB732" s="12" t="s">
        <v>20</v>
      </c>
      <c r="AC732" s="12" t="s">
        <v>21</v>
      </c>
      <c r="AD732" s="12" t="s">
        <v>249</v>
      </c>
      <c r="AE732" s="12" t="s">
        <v>485</v>
      </c>
      <c r="AF732" s="12"/>
      <c r="AG732" s="12" t="s">
        <v>561</v>
      </c>
      <c r="AH732" s="12" t="s">
        <v>282</v>
      </c>
      <c r="AI732" s="12" t="s">
        <v>439</v>
      </c>
    </row>
    <row r="733" spans="1:38">
      <c r="A733" s="24"/>
      <c r="B733" s="146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8">
      <c r="A734" s="66" t="s">
        <v>486</v>
      </c>
      <c r="B734" s="146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8">
      <c r="A735" s="60" t="s">
        <v>86</v>
      </c>
      <c r="B735" s="12">
        <f>AI736+AI747</f>
        <v>2418604.9499999955</v>
      </c>
      <c r="C735" s="12">
        <v>4407926.95</v>
      </c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8">
      <c r="A736" s="155" t="s">
        <v>487</v>
      </c>
      <c r="B736" s="12">
        <f>AI737</f>
        <v>319416</v>
      </c>
      <c r="C736" s="12">
        <v>-1944290</v>
      </c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>
        <v>-2307011.1999999993</v>
      </c>
      <c r="S736" s="12"/>
      <c r="T736" s="12">
        <v>0</v>
      </c>
      <c r="U736" s="12">
        <v>-455874</v>
      </c>
      <c r="V736" s="12"/>
      <c r="W736" s="12">
        <v>-2000364</v>
      </c>
      <c r="X736" s="12">
        <v>0</v>
      </c>
      <c r="Y736" s="12">
        <v>-7835241</v>
      </c>
      <c r="Z736" s="12">
        <v>44752001</v>
      </c>
      <c r="AA736" s="12">
        <v>0</v>
      </c>
      <c r="AB736" s="24">
        <v>2004592</v>
      </c>
      <c r="AC736" s="12">
        <v>-12922541</v>
      </c>
      <c r="AD736" s="12">
        <v>-10243602.850000001</v>
      </c>
      <c r="AE736" s="12">
        <v>-9780445</v>
      </c>
      <c r="AF736" s="12"/>
      <c r="AG736" s="12">
        <v>0</v>
      </c>
      <c r="AH736" s="12"/>
      <c r="AI736" s="12">
        <f t="shared" ref="AI736:AI743" si="39">SUM(R736:AH736)</f>
        <v>1211513.9499999955</v>
      </c>
    </row>
    <row r="737" spans="1:36">
      <c r="A737" s="155" t="s">
        <v>488</v>
      </c>
      <c r="B737" s="12">
        <f>AI738</f>
        <v>-208516951</v>
      </c>
      <c r="C737" s="12">
        <v>-169649519</v>
      </c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>
        <v>0</v>
      </c>
      <c r="V737" s="12"/>
      <c r="W737" s="12">
        <v>0</v>
      </c>
      <c r="X737" s="12">
        <v>0</v>
      </c>
      <c r="Y737" s="12"/>
      <c r="Z737" s="12"/>
      <c r="AA737" s="12"/>
      <c r="AB737" s="24">
        <v>0</v>
      </c>
      <c r="AC737" s="12">
        <v>319416</v>
      </c>
      <c r="AD737" s="12"/>
      <c r="AE737" s="12"/>
      <c r="AF737" s="12"/>
      <c r="AG737" s="12"/>
      <c r="AH737" s="12"/>
      <c r="AI737" s="12">
        <f t="shared" si="39"/>
        <v>319416</v>
      </c>
    </row>
    <row r="738" spans="1:36">
      <c r="A738" s="155" t="s">
        <v>489</v>
      </c>
      <c r="B738" s="12">
        <f>AI739</f>
        <v>208516951</v>
      </c>
      <c r="C738" s="12">
        <v>169664386</v>
      </c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>
        <v>-20195871</v>
      </c>
      <c r="S738" s="12"/>
      <c r="T738" s="12">
        <v>-4316485</v>
      </c>
      <c r="U738" s="12">
        <v>-3168521</v>
      </c>
      <c r="V738" s="12"/>
      <c r="W738" s="12">
        <v>-19672064</v>
      </c>
      <c r="X738" s="12">
        <v>-9164434</v>
      </c>
      <c r="Y738" s="12">
        <v>-5978954</v>
      </c>
      <c r="Z738" s="12"/>
      <c r="AA738" s="12">
        <v>-25063630</v>
      </c>
      <c r="AB738" s="24">
        <f>-3920706-74000</f>
        <v>-3994706</v>
      </c>
      <c r="AC738" s="12">
        <v>-18244418</v>
      </c>
      <c r="AD738" s="12">
        <f>-72000-36070062</f>
        <v>-36142062</v>
      </c>
      <c r="AE738" s="12">
        <v>-40604956</v>
      </c>
      <c r="AF738" s="12"/>
      <c r="AG738" s="12">
        <v>-21970850</v>
      </c>
      <c r="AH738" s="12"/>
      <c r="AI738" s="12">
        <f t="shared" si="39"/>
        <v>-208516951</v>
      </c>
    </row>
    <row r="739" spans="1:36">
      <c r="A739" s="155" t="s">
        <v>490</v>
      </c>
      <c r="B739" s="12">
        <f>+AI749</f>
        <v>-16438299</v>
      </c>
      <c r="C739" s="12">
        <v>-13364328</v>
      </c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>
        <v>20195871</v>
      </c>
      <c r="S739" s="12"/>
      <c r="T739" s="12">
        <v>4316485</v>
      </c>
      <c r="U739" s="12">
        <v>3168521</v>
      </c>
      <c r="V739" s="12"/>
      <c r="W739" s="12">
        <v>19672064</v>
      </c>
      <c r="X739" s="12">
        <v>9164434</v>
      </c>
      <c r="Y739" s="12">
        <v>5978954</v>
      </c>
      <c r="Z739" s="12"/>
      <c r="AA739" s="12">
        <v>25063630</v>
      </c>
      <c r="AB739" s="24">
        <f>3920706+74000</f>
        <v>3994706</v>
      </c>
      <c r="AC739" s="12">
        <v>18244418</v>
      </c>
      <c r="AD739" s="12">
        <v>36142062</v>
      </c>
      <c r="AE739" s="12">
        <v>40604956</v>
      </c>
      <c r="AF739" s="12"/>
      <c r="AG739" s="12">
        <v>21970850</v>
      </c>
      <c r="AH739" s="12"/>
      <c r="AI739" s="12">
        <f t="shared" si="39"/>
        <v>208516951</v>
      </c>
    </row>
    <row r="740" spans="1:36">
      <c r="A740" s="155" t="s">
        <v>491</v>
      </c>
      <c r="B740" s="12">
        <f>+AI750</f>
        <v>16186132</v>
      </c>
      <c r="C740" s="12">
        <v>14818339</v>
      </c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24"/>
      <c r="AC740" s="12"/>
      <c r="AD740" s="12"/>
      <c r="AE740" s="12"/>
      <c r="AF740" s="12"/>
      <c r="AG740" s="12"/>
      <c r="AH740" s="12"/>
      <c r="AI740" s="12">
        <f t="shared" si="39"/>
        <v>0</v>
      </c>
    </row>
    <row r="741" spans="1:36">
      <c r="A741" s="155" t="s">
        <v>492</v>
      </c>
      <c r="B741" s="12">
        <v>-319416</v>
      </c>
      <c r="C741" s="12">
        <v>-3458200</v>
      </c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24"/>
      <c r="AC741" s="12"/>
      <c r="AD741" s="12"/>
      <c r="AE741" s="12"/>
      <c r="AF741" s="12"/>
      <c r="AG741" s="12"/>
      <c r="AH741" s="12"/>
      <c r="AI741" s="12">
        <f t="shared" si="39"/>
        <v>0</v>
      </c>
    </row>
    <row r="742" spans="1:36">
      <c r="A742" s="155" t="s">
        <v>380</v>
      </c>
      <c r="B742" s="12">
        <f>AI743+AI751</f>
        <v>0</v>
      </c>
      <c r="C742" s="12">
        <v>1944290</v>
      </c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24"/>
      <c r="AC742" s="12"/>
      <c r="AD742" s="12"/>
      <c r="AE742" s="12"/>
      <c r="AF742" s="12"/>
      <c r="AG742" s="12"/>
      <c r="AH742" s="12"/>
      <c r="AI742" s="12">
        <f t="shared" si="39"/>
        <v>0</v>
      </c>
    </row>
    <row r="743" spans="1:36">
      <c r="A743" s="175" t="s">
        <v>294</v>
      </c>
      <c r="B743" s="13">
        <f>SUM(B735:B742)</f>
        <v>2166437.9499999881</v>
      </c>
      <c r="C743" s="13">
        <f>SUM(C735:C742)</f>
        <v>2418604.9499999881</v>
      </c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>
        <v>151500</v>
      </c>
      <c r="X743" s="12"/>
      <c r="Y743" s="12"/>
      <c r="Z743" s="12"/>
      <c r="AA743" s="12"/>
      <c r="AB743" s="24"/>
      <c r="AC743" s="12"/>
      <c r="AD743" s="12"/>
      <c r="AE743" s="12"/>
      <c r="AF743" s="12"/>
      <c r="AG743" s="12"/>
      <c r="AH743" s="12"/>
      <c r="AI743" s="12">
        <f t="shared" si="39"/>
        <v>151500</v>
      </c>
    </row>
    <row r="744" spans="1:36">
      <c r="B744" s="46"/>
      <c r="C744" s="46"/>
      <c r="D744" s="13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3">
        <f>SUM(R736:R742)</f>
        <v>-2307011.1999999993</v>
      </c>
      <c r="S744" s="13">
        <f t="shared" ref="S744:AH744" si="40">SUM(S736:S742)</f>
        <v>0</v>
      </c>
      <c r="T744" s="13">
        <f t="shared" si="40"/>
        <v>0</v>
      </c>
      <c r="U744" s="13">
        <f t="shared" si="40"/>
        <v>-455874</v>
      </c>
      <c r="V744" s="13">
        <f t="shared" si="40"/>
        <v>0</v>
      </c>
      <c r="W744" s="13">
        <f>SUM(W736:W743)</f>
        <v>-1848864</v>
      </c>
      <c r="X744" s="13">
        <f t="shared" si="40"/>
        <v>0</v>
      </c>
      <c r="Y744" s="13">
        <f t="shared" si="40"/>
        <v>-7835241</v>
      </c>
      <c r="Z744" s="13">
        <f t="shared" si="40"/>
        <v>44752001</v>
      </c>
      <c r="AA744" s="13">
        <f t="shared" si="40"/>
        <v>0</v>
      </c>
      <c r="AB744" s="13">
        <f t="shared" si="40"/>
        <v>2004592</v>
      </c>
      <c r="AC744" s="13">
        <f t="shared" si="40"/>
        <v>-12603125</v>
      </c>
      <c r="AD744" s="13">
        <f t="shared" si="40"/>
        <v>-10243602.850000001</v>
      </c>
      <c r="AE744" s="13">
        <f t="shared" si="40"/>
        <v>-9780445</v>
      </c>
      <c r="AF744" s="13">
        <f t="shared" si="40"/>
        <v>0</v>
      </c>
      <c r="AG744" s="13">
        <f t="shared" si="40"/>
        <v>0</v>
      </c>
      <c r="AH744" s="13">
        <f t="shared" si="40"/>
        <v>0</v>
      </c>
      <c r="AI744" s="13">
        <f>SUM(AI736:AI743)</f>
        <v>1682429.9499999881</v>
      </c>
    </row>
    <row r="745" spans="1:36">
      <c r="A745" s="16" t="s">
        <v>282</v>
      </c>
      <c r="B745" s="12" t="s">
        <v>544</v>
      </c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 t="s">
        <v>544</v>
      </c>
      <c r="AA745" s="12"/>
      <c r="AB745" s="24" t="s">
        <v>544</v>
      </c>
      <c r="AC745" s="12"/>
      <c r="AD745" s="12"/>
      <c r="AE745" s="12"/>
      <c r="AF745" s="12"/>
      <c r="AG745" s="12"/>
      <c r="AH745" s="12"/>
      <c r="AI745" s="12"/>
    </row>
    <row r="746" spans="1:36">
      <c r="A746" s="60" t="s">
        <v>87</v>
      </c>
      <c r="B746" s="12" t="s">
        <v>544</v>
      </c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24" t="s">
        <v>544</v>
      </c>
      <c r="AC746" s="12"/>
      <c r="AD746" s="12"/>
      <c r="AE746" s="12"/>
      <c r="AF746" s="12"/>
      <c r="AG746" s="12"/>
      <c r="AH746" s="12"/>
      <c r="AI746" s="12"/>
    </row>
    <row r="747" spans="1:36">
      <c r="A747" s="155" t="s">
        <v>87</v>
      </c>
      <c r="B747" s="13">
        <f t="shared" ref="B747:B757" si="41">AI767</f>
        <v>4049074.5700000003</v>
      </c>
      <c r="C747" s="12">
        <v>4189485.57</v>
      </c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>
        <v>-258703</v>
      </c>
      <c r="S747" s="12"/>
      <c r="T747" s="12">
        <v>0</v>
      </c>
      <c r="U747" s="12"/>
      <c r="V747" s="12"/>
      <c r="W747" s="12">
        <v>-211000</v>
      </c>
      <c r="X747" s="12">
        <v>0</v>
      </c>
      <c r="Y747" s="12">
        <v>-400000</v>
      </c>
      <c r="Z747" s="12"/>
      <c r="AA747" s="12"/>
      <c r="AB747" s="24">
        <v>2078750</v>
      </c>
      <c r="AC747" s="12">
        <v>-180584</v>
      </c>
      <c r="AD747" s="12">
        <v>63178</v>
      </c>
      <c r="AE747" s="12">
        <v>115450</v>
      </c>
      <c r="AF747" s="12"/>
      <c r="AG747" s="12">
        <v>0</v>
      </c>
      <c r="AH747" s="12"/>
      <c r="AI747" s="12">
        <f t="shared" ref="AI747:AI752" si="42">SUM(R747:AH747)</f>
        <v>1207091</v>
      </c>
    </row>
    <row r="748" spans="1:36">
      <c r="A748" s="155" t="s">
        <v>493</v>
      </c>
      <c r="B748" s="12">
        <f t="shared" si="41"/>
        <v>-2163135</v>
      </c>
      <c r="C748" s="12">
        <v>-2715213</v>
      </c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>
        <v>0</v>
      </c>
      <c r="X748" s="12">
        <v>0</v>
      </c>
      <c r="Y748" s="12">
        <v>0</v>
      </c>
      <c r="Z748" s="12"/>
      <c r="AA748" s="12"/>
      <c r="AB748" s="24">
        <v>0</v>
      </c>
      <c r="AC748" s="12">
        <v>-319416</v>
      </c>
      <c r="AD748" s="12"/>
      <c r="AE748" s="12"/>
      <c r="AF748" s="12"/>
      <c r="AG748" s="12"/>
      <c r="AH748" s="12"/>
      <c r="AI748" s="12">
        <f t="shared" si="42"/>
        <v>-319416</v>
      </c>
    </row>
    <row r="749" spans="1:36">
      <c r="A749" s="155" t="s">
        <v>722</v>
      </c>
      <c r="B749" s="12">
        <f t="shared" si="41"/>
        <v>-1200</v>
      </c>
      <c r="C749" s="12">
        <v>0</v>
      </c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>
        <v>-1953073</v>
      </c>
      <c r="S749" s="12"/>
      <c r="T749" s="12">
        <v>0</v>
      </c>
      <c r="U749" s="12"/>
      <c r="V749" s="12"/>
      <c r="W749" s="12">
        <v>-3696700</v>
      </c>
      <c r="X749" s="12">
        <v>0</v>
      </c>
      <c r="Y749" s="12">
        <v>-447600</v>
      </c>
      <c r="Z749" s="12"/>
      <c r="AA749" s="12"/>
      <c r="AB749" s="24">
        <v>0</v>
      </c>
      <c r="AC749" s="12">
        <v>-1454126</v>
      </c>
      <c r="AD749" s="12">
        <v>-4224800</v>
      </c>
      <c r="AE749" s="12">
        <v>-4662000</v>
      </c>
      <c r="AF749" s="12"/>
      <c r="AG749" s="12">
        <v>0</v>
      </c>
      <c r="AH749" s="12"/>
      <c r="AI749" s="12">
        <f t="shared" si="42"/>
        <v>-16438299</v>
      </c>
    </row>
    <row r="750" spans="1:36">
      <c r="A750" s="155" t="s">
        <v>494</v>
      </c>
      <c r="B750" s="12">
        <f t="shared" si="41"/>
        <v>2163095</v>
      </c>
      <c r="C750" s="12">
        <v>2716728</v>
      </c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>
        <v>2214406</v>
      </c>
      <c r="S750" s="12"/>
      <c r="T750" s="12">
        <v>0</v>
      </c>
      <c r="U750" s="12"/>
      <c r="V750" s="12"/>
      <c r="W750" s="12">
        <v>3559200</v>
      </c>
      <c r="X750" s="12">
        <v>0</v>
      </c>
      <c r="Y750" s="12">
        <v>447600</v>
      </c>
      <c r="Z750" s="12"/>
      <c r="AA750" s="12"/>
      <c r="AB750" s="24">
        <v>0</v>
      </c>
      <c r="AC750" s="12">
        <v>1454126</v>
      </c>
      <c r="AD750" s="12">
        <v>3779800</v>
      </c>
      <c r="AE750" s="12">
        <v>4731000</v>
      </c>
      <c r="AF750" s="12"/>
      <c r="AG750" s="12">
        <v>0</v>
      </c>
      <c r="AH750" s="12"/>
      <c r="AI750" s="12">
        <f t="shared" si="42"/>
        <v>16186132</v>
      </c>
      <c r="AJ750" s="46" t="s">
        <v>544</v>
      </c>
    </row>
    <row r="751" spans="1:36">
      <c r="A751" s="155" t="s">
        <v>721</v>
      </c>
      <c r="B751" s="12">
        <f t="shared" si="41"/>
        <v>1200</v>
      </c>
      <c r="C751" s="12">
        <v>0</v>
      </c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>
        <v>-151500</v>
      </c>
      <c r="X751" s="12"/>
      <c r="Y751" s="12">
        <v>0</v>
      </c>
      <c r="Z751" s="12"/>
      <c r="AA751" s="12"/>
      <c r="AB751" s="12" t="s">
        <v>544</v>
      </c>
      <c r="AC751" s="12"/>
      <c r="AD751" s="12"/>
      <c r="AE751" s="12"/>
      <c r="AF751" s="12"/>
      <c r="AG751" s="12"/>
      <c r="AH751" s="12"/>
      <c r="AI751" s="12">
        <f t="shared" si="42"/>
        <v>-151500</v>
      </c>
    </row>
    <row r="752" spans="1:36">
      <c r="A752" s="155" t="s">
        <v>720</v>
      </c>
      <c r="B752" s="12">
        <f t="shared" si="41"/>
        <v>5625</v>
      </c>
      <c r="C752" s="12">
        <v>0</v>
      </c>
      <c r="D752" s="13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3">
        <f>SUM(R747:R750)</f>
        <v>2630</v>
      </c>
      <c r="S752" s="13"/>
      <c r="T752" s="13">
        <f>SUM(T747:T750)</f>
        <v>0</v>
      </c>
      <c r="U752" s="12"/>
      <c r="V752" s="12"/>
      <c r="W752" s="13">
        <f>SUM(W747:W751)</f>
        <v>-500000</v>
      </c>
      <c r="X752" s="13">
        <f>SUM(X747:X751)</f>
        <v>0</v>
      </c>
      <c r="Y752" s="13">
        <f>SUM(Y747:Y751)</f>
        <v>-400000</v>
      </c>
      <c r="Z752" s="12"/>
      <c r="AA752" s="12"/>
      <c r="AB752" s="13">
        <f>SUM(AB747:AB751)</f>
        <v>2078750</v>
      </c>
      <c r="AC752" s="13">
        <f>SUM(AC747:AC751)</f>
        <v>-500000</v>
      </c>
      <c r="AD752" s="13">
        <f>SUM(AD747:AD751)</f>
        <v>-381822</v>
      </c>
      <c r="AE752" s="13">
        <f>SUM(AE747:AE750)</f>
        <v>184450</v>
      </c>
      <c r="AF752" s="13"/>
      <c r="AG752" s="13">
        <f>SUM(AG747:AG750)</f>
        <v>0</v>
      </c>
      <c r="AH752" s="12"/>
      <c r="AI752" s="13">
        <f t="shared" si="42"/>
        <v>484008</v>
      </c>
      <c r="AJ752" s="46" t="s">
        <v>544</v>
      </c>
    </row>
    <row r="753" spans="1:35">
      <c r="A753" s="155" t="s">
        <v>495</v>
      </c>
      <c r="B753" s="12">
        <f t="shared" si="41"/>
        <v>-3517362</v>
      </c>
      <c r="C753" s="12">
        <v>-2704247</v>
      </c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 t="s">
        <v>544</v>
      </c>
      <c r="AC753" s="12"/>
      <c r="AD753" s="12"/>
      <c r="AE753" s="12"/>
      <c r="AF753" s="12"/>
      <c r="AG753" s="12"/>
      <c r="AH753" s="12"/>
      <c r="AI753" s="12"/>
    </row>
    <row r="754" spans="1:35">
      <c r="A754" s="155" t="s">
        <v>496</v>
      </c>
      <c r="B754" s="12">
        <f t="shared" si="41"/>
        <v>-2132945</v>
      </c>
      <c r="C754" s="12">
        <v>-2270105</v>
      </c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 t="s">
        <v>544</v>
      </c>
      <c r="AC754" s="12"/>
      <c r="AD754" s="12"/>
      <c r="AE754" s="12"/>
      <c r="AF754" s="12"/>
      <c r="AG754" s="12"/>
      <c r="AH754" s="12"/>
      <c r="AI754" s="12"/>
    </row>
    <row r="755" spans="1:35">
      <c r="A755" s="155" t="s">
        <v>723</v>
      </c>
      <c r="B755" s="12">
        <f t="shared" si="41"/>
        <v>3366526</v>
      </c>
      <c r="C755" s="12">
        <v>2568701</v>
      </c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 t="s">
        <v>544</v>
      </c>
      <c r="AC755" s="12"/>
      <c r="AD755" s="12"/>
      <c r="AE755" s="12"/>
      <c r="AF755" s="12"/>
      <c r="AG755" s="12"/>
      <c r="AH755" s="12"/>
      <c r="AI755" s="12"/>
    </row>
    <row r="756" spans="1:35">
      <c r="A756" s="155" t="s">
        <v>497</v>
      </c>
      <c r="B756" s="12">
        <f t="shared" si="41"/>
        <v>2210055</v>
      </c>
      <c r="C756" s="12">
        <v>2266185</v>
      </c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 t="s">
        <v>544</v>
      </c>
      <c r="AC756" s="12"/>
      <c r="AD756" s="12"/>
      <c r="AE756" s="12"/>
      <c r="AF756" s="12"/>
      <c r="AG756" s="12"/>
      <c r="AH756" s="12"/>
      <c r="AI756" s="12"/>
    </row>
    <row r="757" spans="1:35">
      <c r="A757" s="155" t="s">
        <v>498</v>
      </c>
      <c r="B757" s="12">
        <f t="shared" si="41"/>
        <v>0</v>
      </c>
      <c r="C757" s="12">
        <v>-2460</v>
      </c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24"/>
      <c r="AC757" s="12"/>
      <c r="AD757" s="12"/>
      <c r="AE757" s="12"/>
      <c r="AF757" s="12"/>
      <c r="AG757" s="12"/>
      <c r="AH757" s="12"/>
      <c r="AI757" s="12"/>
    </row>
    <row r="758" spans="1:35">
      <c r="A758" s="175" t="s">
        <v>294</v>
      </c>
      <c r="B758" s="13">
        <f>AI779</f>
        <v>3980933.5700000003</v>
      </c>
      <c r="C758" s="13">
        <f>SUM(C747:C757)</f>
        <v>4049074.57</v>
      </c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60" t="s">
        <v>544</v>
      </c>
      <c r="AC758" s="12"/>
      <c r="AD758" s="12"/>
      <c r="AE758" s="12"/>
      <c r="AF758" s="12"/>
      <c r="AG758" s="12"/>
      <c r="AH758" s="12"/>
      <c r="AI758" s="12"/>
    </row>
    <row r="759" spans="1:35">
      <c r="A759" s="155" t="s">
        <v>544</v>
      </c>
      <c r="B759" s="12" t="s">
        <v>544</v>
      </c>
      <c r="C759" s="13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ht="13.5" thickBot="1">
      <c r="A760" s="175" t="s">
        <v>597</v>
      </c>
      <c r="B760" s="81">
        <f>AI782</f>
        <v>6147371.5199999884</v>
      </c>
      <c r="C760" s="81">
        <f>C743+C758</f>
        <v>6467679.5199999884</v>
      </c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ht="13.5" thickTop="1">
      <c r="A761" s="16" t="s">
        <v>544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24" t="s">
        <v>544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24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24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B765" s="46"/>
      <c r="C765" s="46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>
        <v>0</v>
      </c>
      <c r="S765" s="12"/>
      <c r="T765" s="12"/>
      <c r="U765" s="12" t="s">
        <v>544</v>
      </c>
      <c r="V765" s="12"/>
      <c r="W765" s="12"/>
      <c r="X765" s="12"/>
      <c r="Y765" s="12" t="s">
        <v>544</v>
      </c>
      <c r="Z765" s="12"/>
      <c r="AA765" s="12"/>
      <c r="AB765" s="12" t="s">
        <v>544</v>
      </c>
      <c r="AC765" s="12"/>
      <c r="AD765" s="12"/>
      <c r="AE765" s="12"/>
      <c r="AF765" s="12"/>
      <c r="AG765" s="12"/>
      <c r="AH765" s="12"/>
      <c r="AI765" s="12">
        <f t="shared" ref="AI765:AI778" si="43">SUM(R765:AH765)</f>
        <v>0</v>
      </c>
    </row>
    <row r="766" spans="1:35">
      <c r="B766" s="46"/>
      <c r="C766" s="46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24" t="s">
        <v>544</v>
      </c>
      <c r="AC766" s="12"/>
      <c r="AD766" s="12"/>
      <c r="AE766" s="12"/>
      <c r="AF766" s="12"/>
      <c r="AG766" s="12"/>
      <c r="AH766" s="12"/>
      <c r="AI766" s="12" t="s">
        <v>544</v>
      </c>
    </row>
    <row r="767" spans="1:35">
      <c r="B767" s="46"/>
      <c r="C767" s="46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>
        <v>-1275835</v>
      </c>
      <c r="S767" s="12"/>
      <c r="T767" s="12">
        <v>0</v>
      </c>
      <c r="U767" s="12">
        <v>-208164</v>
      </c>
      <c r="V767" s="12"/>
      <c r="W767" s="12">
        <v>-834082.78</v>
      </c>
      <c r="X767" s="12">
        <v>0</v>
      </c>
      <c r="Y767" s="12">
        <f>-1918898+3750</f>
        <v>-1915148</v>
      </c>
      <c r="Z767" s="12">
        <v>11164540</v>
      </c>
      <c r="AA767" s="12">
        <v>0</v>
      </c>
      <c r="AB767" s="24">
        <v>-349215</v>
      </c>
      <c r="AC767" s="12">
        <v>6936</v>
      </c>
      <c r="AD767" s="12">
        <v>-1193482.6499999999</v>
      </c>
      <c r="AE767" s="12">
        <v>2820</v>
      </c>
      <c r="AF767" s="12"/>
      <c r="AG767" s="12">
        <v>1785</v>
      </c>
      <c r="AH767" s="12">
        <v>-1351079</v>
      </c>
      <c r="AI767" s="12">
        <f t="shared" si="43"/>
        <v>4049074.5700000003</v>
      </c>
    </row>
    <row r="768" spans="1:35">
      <c r="B768" s="46"/>
      <c r="C768" s="46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>
        <v>-269685</v>
      </c>
      <c r="S768" s="12"/>
      <c r="T768" s="12">
        <v>-49560</v>
      </c>
      <c r="U768" s="12">
        <v>-50640</v>
      </c>
      <c r="V768" s="12"/>
      <c r="W768" s="12">
        <v>-192900</v>
      </c>
      <c r="X768" s="12">
        <v>-152877</v>
      </c>
      <c r="Y768" s="12">
        <v>-93885</v>
      </c>
      <c r="Z768" s="12"/>
      <c r="AA768" s="12">
        <v>-190875</v>
      </c>
      <c r="AB768" s="24">
        <v>-64950</v>
      </c>
      <c r="AC768" s="12">
        <v>-246630</v>
      </c>
      <c r="AD768" s="12">
        <v>-317310</v>
      </c>
      <c r="AE768" s="12">
        <v>-248733</v>
      </c>
      <c r="AF768" s="12"/>
      <c r="AG768" s="12">
        <v>-285090</v>
      </c>
      <c r="AH768" s="12"/>
      <c r="AI768" s="12">
        <f t="shared" si="43"/>
        <v>-2163135</v>
      </c>
    </row>
    <row r="769" spans="1:36">
      <c r="B769" s="46"/>
      <c r="C769" s="46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24">
        <v>-1200</v>
      </c>
      <c r="AC769" s="12"/>
      <c r="AD769" s="12"/>
      <c r="AE769" s="12"/>
      <c r="AF769" s="12"/>
      <c r="AG769" s="12"/>
      <c r="AH769" s="12"/>
      <c r="AI769" s="12">
        <f t="shared" si="43"/>
        <v>-1200</v>
      </c>
    </row>
    <row r="770" spans="1:36">
      <c r="B770" s="46"/>
      <c r="C770" s="46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3">
        <v>269685</v>
      </c>
      <c r="S770" s="12"/>
      <c r="T770" s="12">
        <v>49560</v>
      </c>
      <c r="U770" s="13">
        <v>50640</v>
      </c>
      <c r="V770" s="12"/>
      <c r="W770" s="13">
        <v>192900</v>
      </c>
      <c r="X770" s="13">
        <v>152877</v>
      </c>
      <c r="Y770" s="13">
        <v>93885</v>
      </c>
      <c r="Z770" s="12"/>
      <c r="AA770" s="13">
        <v>190875</v>
      </c>
      <c r="AB770" s="60">
        <f>66150-1200</f>
        <v>64950</v>
      </c>
      <c r="AC770" s="13">
        <v>246620</v>
      </c>
      <c r="AD770" s="13">
        <v>317310</v>
      </c>
      <c r="AE770" s="13">
        <v>248703</v>
      </c>
      <c r="AF770" s="12"/>
      <c r="AG770" s="12">
        <v>285090</v>
      </c>
      <c r="AH770" s="12"/>
      <c r="AI770" s="12">
        <f t="shared" si="43"/>
        <v>2163095</v>
      </c>
    </row>
    <row r="771" spans="1:36">
      <c r="B771" s="46"/>
      <c r="C771" s="46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3"/>
      <c r="Z771" s="12"/>
      <c r="AA771" s="12"/>
      <c r="AB771" s="24">
        <v>1200</v>
      </c>
      <c r="AC771" s="13"/>
      <c r="AD771" s="13"/>
      <c r="AE771" s="13"/>
      <c r="AF771" s="12"/>
      <c r="AG771" s="12"/>
      <c r="AH771" s="12"/>
      <c r="AI771" s="12">
        <f t="shared" si="43"/>
        <v>1200</v>
      </c>
    </row>
    <row r="772" spans="1:36">
      <c r="B772" s="46"/>
      <c r="C772" s="46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>
        <v>-60</v>
      </c>
      <c r="S772" s="12"/>
      <c r="T772" s="12"/>
      <c r="U772" s="12"/>
      <c r="V772" s="12"/>
      <c r="W772" s="12">
        <v>-360</v>
      </c>
      <c r="X772" s="12"/>
      <c r="Y772" s="13"/>
      <c r="Z772" s="12"/>
      <c r="AA772" s="12"/>
      <c r="AB772" s="24"/>
      <c r="AC772" s="12">
        <v>1605</v>
      </c>
      <c r="AD772" s="13"/>
      <c r="AE772" s="12">
        <f>4170-1140</f>
        <v>3030</v>
      </c>
      <c r="AF772" s="12"/>
      <c r="AG772" s="12">
        <v>1410</v>
      </c>
      <c r="AH772" s="12"/>
      <c r="AI772" s="12">
        <f t="shared" si="43"/>
        <v>5625</v>
      </c>
    </row>
    <row r="773" spans="1:36">
      <c r="B773" s="46"/>
      <c r="C773" s="46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24"/>
      <c r="AC773" s="12"/>
      <c r="AD773" s="12"/>
      <c r="AE773" s="12"/>
      <c r="AF773" s="12"/>
      <c r="AG773" s="12"/>
      <c r="AH773" s="12">
        <v>-3517362</v>
      </c>
      <c r="AI773" s="12">
        <f t="shared" si="43"/>
        <v>-3517362</v>
      </c>
    </row>
    <row r="774" spans="1:36">
      <c r="B774" s="46"/>
      <c r="C774" s="46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24"/>
      <c r="AC774" s="12"/>
      <c r="AD774" s="12"/>
      <c r="AE774" s="12"/>
      <c r="AF774" s="12"/>
      <c r="AG774" s="12"/>
      <c r="AH774" s="12">
        <v>-2132945</v>
      </c>
      <c r="AI774" s="12">
        <f t="shared" si="43"/>
        <v>-2132945</v>
      </c>
    </row>
    <row r="775" spans="1:36">
      <c r="B775" s="46"/>
      <c r="C775" s="46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24"/>
      <c r="AC775" s="12"/>
      <c r="AD775" s="12"/>
      <c r="AE775" s="12"/>
      <c r="AF775" s="12"/>
      <c r="AG775" s="12"/>
      <c r="AH775" s="12">
        <v>3366526</v>
      </c>
      <c r="AI775" s="12">
        <f t="shared" si="43"/>
        <v>3366526</v>
      </c>
    </row>
    <row r="776" spans="1:36">
      <c r="B776" s="46"/>
      <c r="C776" s="46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24"/>
      <c r="AC776" s="12">
        <v>0</v>
      </c>
      <c r="AD776" s="12"/>
      <c r="AE776" s="12"/>
      <c r="AF776" s="12"/>
      <c r="AG776" s="12"/>
      <c r="AH776" s="12">
        <v>2210055</v>
      </c>
      <c r="AI776" s="12">
        <f t="shared" si="43"/>
        <v>2210055</v>
      </c>
    </row>
    <row r="777" spans="1:36">
      <c r="B777" s="46"/>
      <c r="C777" s="46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3">
        <v>0</v>
      </c>
      <c r="S777" s="13"/>
      <c r="T777" s="12"/>
      <c r="U777" s="12"/>
      <c r="V777" s="12"/>
      <c r="W777" s="12"/>
      <c r="X777" s="12"/>
      <c r="Y777" s="12"/>
      <c r="Z777" s="12"/>
      <c r="AA777" s="12" t="s">
        <v>544</v>
      </c>
      <c r="AB777" s="24" t="s">
        <v>544</v>
      </c>
      <c r="AC777" s="12">
        <v>0</v>
      </c>
      <c r="AD777" s="12"/>
      <c r="AE777" s="12"/>
      <c r="AF777" s="12"/>
      <c r="AG777" s="12"/>
      <c r="AH777" s="12"/>
      <c r="AI777" s="12">
        <f t="shared" si="43"/>
        <v>0</v>
      </c>
      <c r="AJ777" s="46" t="s">
        <v>544</v>
      </c>
    </row>
    <row r="778" spans="1:36">
      <c r="B778" s="46"/>
      <c r="C778" s="46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3"/>
      <c r="S778" s="13"/>
      <c r="T778" s="12">
        <v>0</v>
      </c>
      <c r="U778" s="12"/>
      <c r="V778" s="12"/>
      <c r="W778" s="12"/>
      <c r="X778" s="12"/>
      <c r="Y778" s="12"/>
      <c r="Z778" s="12"/>
      <c r="AA778" s="12"/>
      <c r="AB778" s="24"/>
      <c r="AC778" s="12"/>
      <c r="AD778" s="12"/>
      <c r="AE778" s="12"/>
      <c r="AF778" s="12"/>
      <c r="AG778" s="12"/>
      <c r="AH778" s="12"/>
      <c r="AI778" s="12">
        <f t="shared" si="43"/>
        <v>0</v>
      </c>
    </row>
    <row r="779" spans="1:36">
      <c r="B779" s="46"/>
      <c r="C779" s="46"/>
      <c r="D779" s="13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3">
        <f t="shared" ref="R779:AD779" si="44">SUM(R765:R778)</f>
        <v>-1275895</v>
      </c>
      <c r="S779" s="13">
        <f t="shared" si="44"/>
        <v>0</v>
      </c>
      <c r="T779" s="13">
        <f t="shared" si="44"/>
        <v>0</v>
      </c>
      <c r="U779" s="13">
        <f t="shared" si="44"/>
        <v>-208164</v>
      </c>
      <c r="V779" s="13">
        <f t="shared" si="44"/>
        <v>0</v>
      </c>
      <c r="W779" s="13">
        <f t="shared" si="44"/>
        <v>-834442.78</v>
      </c>
      <c r="X779" s="13">
        <f t="shared" si="44"/>
        <v>0</v>
      </c>
      <c r="Y779" s="13">
        <f t="shared" si="44"/>
        <v>-1915148</v>
      </c>
      <c r="Z779" s="13">
        <f t="shared" si="44"/>
        <v>11164540</v>
      </c>
      <c r="AA779" s="13">
        <f t="shared" si="44"/>
        <v>0</v>
      </c>
      <c r="AB779" s="13">
        <f t="shared" si="44"/>
        <v>-349215</v>
      </c>
      <c r="AC779" s="13">
        <f t="shared" si="44"/>
        <v>8531</v>
      </c>
      <c r="AD779" s="13">
        <f t="shared" si="44"/>
        <v>-1193482.6499999999</v>
      </c>
      <c r="AE779" s="13">
        <f>SUM(AE765:AE778)</f>
        <v>5820</v>
      </c>
      <c r="AF779" s="13">
        <f>SUM(AF765:AF778)</f>
        <v>0</v>
      </c>
      <c r="AG779" s="13">
        <f>SUM(AG765:AG778)</f>
        <v>3195</v>
      </c>
      <c r="AH779" s="13">
        <f>SUM(AH765:AH778)</f>
        <v>-1424805</v>
      </c>
      <c r="AI779" s="13">
        <f>SUM(R779:AH779)</f>
        <v>3980933.5700000003</v>
      </c>
    </row>
    <row r="780" spans="1:36">
      <c r="B780" s="46"/>
      <c r="C780" s="46"/>
      <c r="D780" s="13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6">
      <c r="B781" s="46"/>
      <c r="C781" s="46"/>
      <c r="D781" s="13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6">
      <c r="B782" s="46"/>
      <c r="C782" s="46"/>
      <c r="D782" s="107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3">
        <f>+R744+R752+R779</f>
        <v>-3580276.1999999993</v>
      </c>
      <c r="S782" s="13"/>
      <c r="T782" s="13">
        <f>+T744+T752+T779</f>
        <v>0</v>
      </c>
      <c r="U782" s="13">
        <f>+U744+U752+U779</f>
        <v>-664038</v>
      </c>
      <c r="V782" s="13"/>
      <c r="W782" s="13">
        <f t="shared" ref="W782:AE782" si="45">+W744+W752+W779</f>
        <v>-3183306.7800000003</v>
      </c>
      <c r="X782" s="13">
        <f t="shared" si="45"/>
        <v>0</v>
      </c>
      <c r="Y782" s="13">
        <f t="shared" si="45"/>
        <v>-10150389</v>
      </c>
      <c r="Z782" s="13">
        <f t="shared" si="45"/>
        <v>55916541</v>
      </c>
      <c r="AA782" s="13">
        <f t="shared" si="45"/>
        <v>0</v>
      </c>
      <c r="AB782" s="13">
        <f t="shared" si="45"/>
        <v>3734127</v>
      </c>
      <c r="AC782" s="13">
        <f t="shared" si="45"/>
        <v>-13094594</v>
      </c>
      <c r="AD782" s="13">
        <f t="shared" si="45"/>
        <v>-11818907.500000002</v>
      </c>
      <c r="AE782" s="13">
        <f t="shared" si="45"/>
        <v>-9590175</v>
      </c>
      <c r="AF782" s="13"/>
      <c r="AG782" s="13">
        <f>+AG744+AG752+AG779</f>
        <v>3195</v>
      </c>
      <c r="AH782" s="13">
        <f>+AH744+AH752+AH779</f>
        <v>-1424805</v>
      </c>
      <c r="AI782" s="13">
        <f>+AI744+AI752+AI779</f>
        <v>6147371.5199999884</v>
      </c>
    </row>
    <row r="783" spans="1:36">
      <c r="A783" s="12"/>
      <c r="B783" s="149"/>
      <c r="C783" s="149"/>
      <c r="D783" s="1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24" t="s">
        <v>277</v>
      </c>
      <c r="S783" s="24"/>
      <c r="T783" s="12"/>
      <c r="U783" s="12" t="s">
        <v>277</v>
      </c>
      <c r="V783" s="12"/>
      <c r="W783" s="12" t="s">
        <v>277</v>
      </c>
      <c r="X783" s="12"/>
      <c r="Y783" s="12" t="s">
        <v>277</v>
      </c>
      <c r="Z783" s="12" t="s">
        <v>277</v>
      </c>
      <c r="AA783" s="12" t="s">
        <v>277</v>
      </c>
      <c r="AB783" s="12" t="s">
        <v>277</v>
      </c>
      <c r="AC783" s="12" t="s">
        <v>277</v>
      </c>
      <c r="AD783" s="12" t="s">
        <v>277</v>
      </c>
      <c r="AE783" s="12" t="s">
        <v>277</v>
      </c>
      <c r="AF783" s="12"/>
      <c r="AG783" s="12"/>
      <c r="AH783" s="12"/>
      <c r="AI783" s="12"/>
    </row>
    <row r="784" spans="1:36">
      <c r="A784" s="176" t="s">
        <v>544</v>
      </c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115" t="s">
        <v>544</v>
      </c>
      <c r="W784" s="115"/>
      <c r="Y784" s="46" t="s">
        <v>544</v>
      </c>
      <c r="AD784" s="46"/>
      <c r="AE784" s="46"/>
      <c r="AF784" s="46"/>
      <c r="AH784" s="46"/>
    </row>
    <row r="785" spans="1:34">
      <c r="A785" s="176" t="s">
        <v>544</v>
      </c>
      <c r="B785" s="174" t="s">
        <v>544</v>
      </c>
      <c r="C785" s="174"/>
      <c r="D785" s="174"/>
      <c r="E785" s="174"/>
      <c r="F785" s="174"/>
      <c r="G785" s="174"/>
      <c r="H785" s="174"/>
      <c r="I785" s="174"/>
      <c r="J785" s="174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115" t="s">
        <v>544</v>
      </c>
      <c r="W785" s="115"/>
      <c r="Y785" s="46" t="s">
        <v>544</v>
      </c>
      <c r="AD785" s="46"/>
      <c r="AE785" s="46"/>
      <c r="AF785" s="46"/>
      <c r="AH785" s="46"/>
    </row>
    <row r="790" spans="1:34">
      <c r="A790" s="12"/>
      <c r="B790" s="12"/>
      <c r="C790" s="12"/>
      <c r="D790" s="12"/>
      <c r="E790" s="14"/>
      <c r="F790" s="74"/>
      <c r="G790" s="74" t="s">
        <v>937</v>
      </c>
      <c r="J790" s="74"/>
      <c r="K790" s="46"/>
      <c r="L790" s="46"/>
      <c r="M790" s="46"/>
      <c r="N790" s="46"/>
      <c r="O790" s="46"/>
      <c r="P790" s="46"/>
      <c r="Q790" s="46"/>
    </row>
    <row r="791" spans="1:34">
      <c r="A791" s="12"/>
      <c r="B791" s="12"/>
      <c r="C791" s="12"/>
      <c r="D791" s="12"/>
      <c r="E791" s="12"/>
      <c r="F791" s="12"/>
      <c r="G791" s="12"/>
      <c r="J791" s="12"/>
      <c r="K791" s="46"/>
      <c r="L791" s="46"/>
      <c r="M791" s="46"/>
      <c r="N791" s="46"/>
      <c r="O791" s="46"/>
      <c r="P791" s="46"/>
      <c r="Q791" s="46"/>
    </row>
    <row r="792" spans="1:34">
      <c r="A792" s="16" t="s">
        <v>540</v>
      </c>
      <c r="B792" s="12"/>
      <c r="C792" s="12"/>
      <c r="D792" s="12"/>
      <c r="E792" s="12"/>
      <c r="F792" s="12"/>
      <c r="G792" s="12"/>
      <c r="J792" s="12"/>
      <c r="K792" s="46"/>
      <c r="L792" s="46"/>
      <c r="M792" s="46"/>
      <c r="N792" s="46"/>
      <c r="O792" s="46"/>
      <c r="P792" s="46"/>
      <c r="Q792" s="46"/>
    </row>
    <row r="793" spans="1:34">
      <c r="A793" s="12"/>
      <c r="B793" s="12"/>
      <c r="C793" s="12"/>
      <c r="D793" s="12"/>
      <c r="E793" s="12"/>
      <c r="F793" s="12"/>
      <c r="G793" s="12"/>
      <c r="J793" s="12"/>
      <c r="K793" s="46"/>
      <c r="L793" s="46"/>
      <c r="M793" s="46"/>
      <c r="N793" s="46"/>
      <c r="O793" s="46"/>
      <c r="P793" s="46"/>
      <c r="Q793" s="46"/>
    </row>
    <row r="794" spans="1:34">
      <c r="A794" s="12"/>
      <c r="B794" s="74" t="s">
        <v>419</v>
      </c>
      <c r="C794" s="74" t="s">
        <v>112</v>
      </c>
      <c r="D794" s="74" t="s">
        <v>125</v>
      </c>
      <c r="E794" s="74" t="s">
        <v>641</v>
      </c>
      <c r="F794" s="74" t="s">
        <v>499</v>
      </c>
      <c r="G794" s="74" t="s">
        <v>3</v>
      </c>
      <c r="J794" s="74"/>
      <c r="K794" s="127"/>
      <c r="L794" s="127"/>
      <c r="M794" s="127"/>
      <c r="N794" s="127"/>
      <c r="O794" s="127"/>
      <c r="P794" s="127"/>
      <c r="Q794" s="127"/>
      <c r="AB794" s="112"/>
    </row>
    <row r="795" spans="1:34">
      <c r="A795" s="177" t="s">
        <v>500</v>
      </c>
      <c r="B795" s="74" t="s">
        <v>3</v>
      </c>
      <c r="C795" s="74" t="s">
        <v>123</v>
      </c>
      <c r="D795" s="74" t="s">
        <v>113</v>
      </c>
      <c r="E795" s="74" t="s">
        <v>4</v>
      </c>
      <c r="F795" s="74" t="s">
        <v>322</v>
      </c>
      <c r="G795" s="74" t="s">
        <v>92</v>
      </c>
      <c r="J795" s="74"/>
      <c r="K795" s="127"/>
      <c r="L795" s="127"/>
      <c r="M795" s="127"/>
      <c r="N795" s="127"/>
      <c r="O795" s="127"/>
      <c r="P795" s="127"/>
      <c r="Q795" s="127"/>
      <c r="AB795" s="112"/>
    </row>
    <row r="796" spans="1:34">
      <c r="A796" s="74"/>
      <c r="B796" s="74" t="s">
        <v>122</v>
      </c>
      <c r="C796" s="74" t="s">
        <v>124</v>
      </c>
      <c r="D796" s="74" t="s">
        <v>322</v>
      </c>
      <c r="E796" s="74"/>
      <c r="F796" s="74" t="s">
        <v>302</v>
      </c>
      <c r="G796" s="74"/>
      <c r="J796" s="74"/>
      <c r="K796" s="127"/>
      <c r="L796" s="127"/>
      <c r="M796" s="127"/>
      <c r="N796" s="127"/>
      <c r="O796" s="127"/>
      <c r="P796" s="127"/>
      <c r="Q796" s="127"/>
      <c r="AB796" s="112"/>
    </row>
    <row r="797" spans="1:34">
      <c r="A797" s="74"/>
      <c r="B797" s="74"/>
      <c r="C797" s="74" t="s">
        <v>5</v>
      </c>
      <c r="D797" s="74" t="s">
        <v>302</v>
      </c>
      <c r="E797" s="74"/>
      <c r="F797" s="74"/>
      <c r="G797" s="74"/>
      <c r="J797" s="74"/>
      <c r="K797" s="127"/>
      <c r="L797" s="127"/>
      <c r="M797" s="127"/>
      <c r="N797" s="127"/>
      <c r="O797" s="127"/>
      <c r="P797" s="127"/>
      <c r="Q797" s="127"/>
      <c r="AB797" s="112"/>
    </row>
    <row r="798" spans="1:34">
      <c r="A798" s="74"/>
      <c r="B798" s="74"/>
      <c r="C798" s="74"/>
      <c r="D798" s="74"/>
      <c r="E798" s="74"/>
      <c r="F798" s="74"/>
      <c r="G798" s="74"/>
      <c r="J798" s="74"/>
      <c r="AB798" s="112"/>
    </row>
    <row r="799" spans="1:34">
      <c r="A799" s="12" t="s">
        <v>544</v>
      </c>
      <c r="B799" s="12" t="s">
        <v>544</v>
      </c>
      <c r="C799" s="12"/>
      <c r="D799" s="12"/>
      <c r="E799" s="12"/>
      <c r="F799" s="12"/>
      <c r="G799" s="12" t="s">
        <v>544</v>
      </c>
      <c r="H799" s="46"/>
      <c r="I799" s="46"/>
      <c r="J799" s="12"/>
      <c r="AB799" s="18"/>
    </row>
    <row r="800" spans="1:34">
      <c r="A800" s="95" t="s">
        <v>130</v>
      </c>
      <c r="B800" s="12" t="s">
        <v>544</v>
      </c>
      <c r="C800" s="12" t="s">
        <v>544</v>
      </c>
      <c r="D800" s="12" t="s">
        <v>544</v>
      </c>
      <c r="E800" s="12"/>
      <c r="F800" s="12"/>
      <c r="G800" s="12" t="s">
        <v>544</v>
      </c>
      <c r="H800" s="46"/>
      <c r="I800" s="46"/>
      <c r="J800" s="12"/>
      <c r="K800" s="12"/>
      <c r="L800" s="12"/>
      <c r="M800" s="12"/>
      <c r="N800" s="12"/>
      <c r="O800" s="12"/>
      <c r="P800" s="12"/>
      <c r="Q800" s="12"/>
      <c r="AB800" s="12"/>
      <c r="AC800" s="46" t="s">
        <v>544</v>
      </c>
    </row>
    <row r="801" spans="1:29">
      <c r="A801" s="12" t="s">
        <v>127</v>
      </c>
      <c r="B801" s="12">
        <v>965</v>
      </c>
      <c r="C801" s="12">
        <v>0</v>
      </c>
      <c r="D801" s="12">
        <v>0</v>
      </c>
      <c r="E801" s="12">
        <v>-965</v>
      </c>
      <c r="F801" s="12">
        <v>0</v>
      </c>
      <c r="G801" s="12">
        <f>SUM(B801:F801)</f>
        <v>0</v>
      </c>
      <c r="H801" s="46"/>
      <c r="I801" s="46"/>
      <c r="J801" s="12"/>
      <c r="K801" s="12"/>
      <c r="L801" s="12"/>
      <c r="M801" s="12"/>
      <c r="N801" s="12"/>
      <c r="O801" s="12"/>
      <c r="P801" s="12"/>
      <c r="Q801" s="12"/>
      <c r="AB801" s="12"/>
      <c r="AC801" s="46" t="s">
        <v>544</v>
      </c>
    </row>
    <row r="802" spans="1:29">
      <c r="A802" s="12" t="s">
        <v>129</v>
      </c>
      <c r="B802" s="12">
        <v>120683</v>
      </c>
      <c r="C802" s="12"/>
      <c r="D802" s="12"/>
      <c r="E802" s="12"/>
      <c r="F802" s="12">
        <v>0</v>
      </c>
      <c r="G802" s="12">
        <f>SUM(B802:F802)</f>
        <v>120683</v>
      </c>
      <c r="H802" s="46"/>
      <c r="I802" s="46"/>
      <c r="J802" s="12"/>
      <c r="K802" s="12"/>
      <c r="L802" s="12"/>
      <c r="M802" s="12"/>
      <c r="N802" s="12"/>
      <c r="O802" s="12"/>
      <c r="P802" s="12"/>
      <c r="Q802" s="12"/>
      <c r="AB802" s="12"/>
      <c r="AC802" s="46" t="s">
        <v>544</v>
      </c>
    </row>
    <row r="803" spans="1:29">
      <c r="A803" s="12" t="s">
        <v>257</v>
      </c>
      <c r="B803" s="12">
        <v>52253712</v>
      </c>
      <c r="C803" s="12">
        <v>9319292</v>
      </c>
      <c r="D803" s="12">
        <v>-76867</v>
      </c>
      <c r="E803" s="12"/>
      <c r="F803" s="12">
        <v>0</v>
      </c>
      <c r="G803" s="12">
        <f>SUM(B803:F803)</f>
        <v>61496137</v>
      </c>
      <c r="H803" s="46"/>
      <c r="I803" s="46"/>
      <c r="J803" s="12"/>
      <c r="K803" s="12"/>
      <c r="L803" s="12"/>
      <c r="M803" s="12"/>
      <c r="N803" s="12"/>
      <c r="O803" s="12"/>
      <c r="P803" s="12"/>
      <c r="Q803" s="12"/>
      <c r="AB803" s="12"/>
    </row>
    <row r="804" spans="1:29">
      <c r="A804" s="12"/>
      <c r="B804" s="12" t="s">
        <v>544</v>
      </c>
      <c r="C804" s="12"/>
      <c r="D804" s="12"/>
      <c r="E804" s="12"/>
      <c r="F804" s="12"/>
      <c r="G804" s="12" t="s">
        <v>544</v>
      </c>
      <c r="H804" s="46"/>
      <c r="I804" s="46"/>
      <c r="J804" s="12"/>
      <c r="K804" s="12"/>
      <c r="L804" s="12"/>
      <c r="M804" s="12"/>
      <c r="N804" s="12"/>
      <c r="O804" s="12"/>
      <c r="P804" s="12"/>
      <c r="Q804" s="12"/>
      <c r="AB804" s="12"/>
    </row>
    <row r="805" spans="1:29">
      <c r="A805" s="13" t="s">
        <v>423</v>
      </c>
      <c r="B805" s="14">
        <v>0</v>
      </c>
      <c r="C805" s="12"/>
      <c r="D805" s="12"/>
      <c r="E805" s="12"/>
      <c r="F805" s="12" t="s">
        <v>544</v>
      </c>
      <c r="G805" s="12" t="s">
        <v>544</v>
      </c>
      <c r="H805" s="46"/>
      <c r="I805" s="46"/>
      <c r="J805" s="12"/>
      <c r="K805" s="12"/>
      <c r="L805" s="12"/>
      <c r="M805" s="12"/>
      <c r="N805" s="12"/>
      <c r="O805" s="12"/>
      <c r="P805" s="12"/>
      <c r="Q805" s="12"/>
      <c r="AB805" s="12"/>
      <c r="AC805" s="46" t="s">
        <v>544</v>
      </c>
    </row>
    <row r="806" spans="1:29">
      <c r="A806" s="12" t="s">
        <v>129</v>
      </c>
      <c r="B806" s="12">
        <v>2800000</v>
      </c>
      <c r="C806" s="12"/>
      <c r="D806" s="12"/>
      <c r="E806" s="12"/>
      <c r="F806" s="12">
        <v>0</v>
      </c>
      <c r="G806" s="12">
        <f>SUM(B806:F806)</f>
        <v>2800000</v>
      </c>
      <c r="H806" s="46"/>
      <c r="I806" s="46"/>
      <c r="J806" s="12"/>
      <c r="K806" s="14"/>
      <c r="L806" s="14"/>
      <c r="M806" s="14"/>
      <c r="N806" s="14"/>
      <c r="O806" s="14"/>
      <c r="P806" s="14"/>
      <c r="Q806" s="14"/>
      <c r="AB806" s="12"/>
    </row>
    <row r="807" spans="1:29">
      <c r="A807" s="12"/>
      <c r="B807" s="12" t="s">
        <v>544</v>
      </c>
      <c r="C807" s="12"/>
      <c r="D807" s="12"/>
      <c r="E807" s="12"/>
      <c r="F807" s="12"/>
      <c r="G807" s="12" t="s">
        <v>544</v>
      </c>
      <c r="H807" s="46"/>
      <c r="I807" s="46"/>
      <c r="J807" s="12"/>
      <c r="K807" s="14"/>
      <c r="L807" s="14"/>
      <c r="M807" s="14"/>
      <c r="N807" s="14"/>
      <c r="O807" s="14"/>
      <c r="P807" s="14"/>
      <c r="Q807" s="14"/>
      <c r="AB807" s="12"/>
    </row>
    <row r="808" spans="1:29">
      <c r="A808" s="95" t="s">
        <v>424</v>
      </c>
      <c r="B808" s="12" t="s">
        <v>544</v>
      </c>
      <c r="C808" s="12"/>
      <c r="D808" s="12"/>
      <c r="E808" s="12"/>
      <c r="F808" s="12"/>
      <c r="G808" s="12" t="s">
        <v>544</v>
      </c>
      <c r="H808" s="46"/>
      <c r="I808" s="46"/>
      <c r="J808" s="12"/>
      <c r="K808" s="12"/>
      <c r="L808" s="12"/>
      <c r="M808" s="12"/>
      <c r="N808" s="12"/>
      <c r="O808" s="12"/>
      <c r="P808" s="12"/>
      <c r="Q808" s="12"/>
      <c r="AB808" s="12"/>
      <c r="AC808" s="46" t="s">
        <v>544</v>
      </c>
    </row>
    <row r="809" spans="1:29">
      <c r="A809" s="12" t="s">
        <v>127</v>
      </c>
      <c r="B809" s="12">
        <v>315994</v>
      </c>
      <c r="C809" s="12"/>
      <c r="D809" s="12">
        <v>0</v>
      </c>
      <c r="E809" s="12">
        <v>-315994</v>
      </c>
      <c r="F809" s="12">
        <v>0</v>
      </c>
      <c r="G809" s="12">
        <f>SUM(B809:F809)</f>
        <v>0</v>
      </c>
      <c r="H809" s="46"/>
      <c r="I809" s="46"/>
      <c r="J809" s="12"/>
      <c r="K809" s="12"/>
      <c r="L809" s="12"/>
      <c r="M809" s="12"/>
      <c r="N809" s="12"/>
      <c r="O809" s="12"/>
      <c r="P809" s="12"/>
      <c r="Q809" s="12"/>
      <c r="AB809" s="12"/>
      <c r="AC809" s="46" t="s">
        <v>544</v>
      </c>
    </row>
    <row r="810" spans="1:29">
      <c r="A810" s="12"/>
      <c r="B810" s="12" t="s">
        <v>544</v>
      </c>
      <c r="C810" s="12"/>
      <c r="D810" s="12"/>
      <c r="E810" s="12"/>
      <c r="F810" s="12"/>
      <c r="G810" s="12" t="s">
        <v>544</v>
      </c>
      <c r="H810" s="46"/>
      <c r="I810" s="46"/>
      <c r="J810" s="12"/>
      <c r="K810" s="14"/>
      <c r="L810" s="14"/>
      <c r="M810" s="14"/>
      <c r="N810" s="14"/>
      <c r="O810" s="14"/>
      <c r="P810" s="14"/>
      <c r="Q810" s="14"/>
      <c r="AB810" s="12"/>
    </row>
    <row r="811" spans="1:29">
      <c r="A811" s="95" t="s">
        <v>425</v>
      </c>
      <c r="B811" s="12" t="s">
        <v>544</v>
      </c>
      <c r="C811" s="12"/>
      <c r="D811" s="12"/>
      <c r="E811" s="12"/>
      <c r="F811" s="12"/>
      <c r="G811" s="12" t="s">
        <v>544</v>
      </c>
      <c r="H811" s="46"/>
      <c r="I811" s="46"/>
      <c r="J811" s="12"/>
      <c r="K811" s="12"/>
      <c r="L811" s="12"/>
      <c r="M811" s="12"/>
      <c r="N811" s="12"/>
      <c r="O811" s="12"/>
      <c r="P811" s="12"/>
      <c r="Q811" s="12"/>
      <c r="AB811" s="12"/>
    </row>
    <row r="812" spans="1:29">
      <c r="A812" s="76" t="s">
        <v>128</v>
      </c>
      <c r="B812" s="12">
        <v>5043</v>
      </c>
      <c r="C812" s="12"/>
      <c r="D812" s="12">
        <v>0</v>
      </c>
      <c r="E812" s="12">
        <v>-5043</v>
      </c>
      <c r="F812" s="12">
        <v>0</v>
      </c>
      <c r="G812" s="12">
        <f>SUM(B812:F812)</f>
        <v>0</v>
      </c>
      <c r="H812" s="46"/>
      <c r="I812" s="46"/>
      <c r="J812" s="12"/>
      <c r="K812" s="12"/>
      <c r="L812" s="12"/>
      <c r="M812" s="12"/>
      <c r="N812" s="12"/>
      <c r="O812" s="12"/>
      <c r="P812" s="12"/>
      <c r="Q812" s="12"/>
      <c r="AB812" s="12"/>
      <c r="AC812" s="46" t="s">
        <v>544</v>
      </c>
    </row>
    <row r="813" spans="1:29">
      <c r="A813" s="12" t="s">
        <v>50</v>
      </c>
      <c r="B813" s="12">
        <v>5274</v>
      </c>
      <c r="C813" s="12">
        <v>2889</v>
      </c>
      <c r="D813" s="12">
        <v>-5274</v>
      </c>
      <c r="E813" s="12"/>
      <c r="F813" s="12">
        <v>0</v>
      </c>
      <c r="G813" s="12">
        <f>SUM(B813:F813)</f>
        <v>2889</v>
      </c>
      <c r="H813" s="46"/>
      <c r="I813" s="46"/>
      <c r="J813" s="12"/>
      <c r="K813" s="14"/>
      <c r="L813" s="14"/>
      <c r="M813" s="14"/>
      <c r="N813" s="14"/>
      <c r="O813" s="14"/>
      <c r="P813" s="14"/>
      <c r="Q813" s="14"/>
      <c r="AB813" s="12"/>
    </row>
    <row r="814" spans="1:29">
      <c r="A814" s="12" t="s">
        <v>129</v>
      </c>
      <c r="B814" s="12"/>
      <c r="C814" s="12">
        <v>13464</v>
      </c>
      <c r="D814" s="12"/>
      <c r="E814" s="12"/>
      <c r="F814" s="12"/>
      <c r="G814" s="12">
        <f>SUM(B814:F814)</f>
        <v>13464</v>
      </c>
      <c r="H814" s="46"/>
      <c r="I814" s="46"/>
      <c r="J814" s="12"/>
      <c r="K814" s="14"/>
      <c r="L814" s="14"/>
      <c r="M814" s="14"/>
      <c r="N814" s="14"/>
      <c r="O814" s="14"/>
      <c r="P814" s="14"/>
      <c r="Q814" s="14"/>
      <c r="AB814" s="12"/>
    </row>
    <row r="815" spans="1:29">
      <c r="A815" s="12"/>
      <c r="B815" s="12" t="s">
        <v>544</v>
      </c>
      <c r="C815" s="12" t="s">
        <v>544</v>
      </c>
      <c r="D815" s="12"/>
      <c r="E815" s="12"/>
      <c r="F815" s="12"/>
      <c r="G815" s="12" t="s">
        <v>544</v>
      </c>
      <c r="H815" s="46"/>
      <c r="I815" s="46"/>
      <c r="J815" s="12"/>
      <c r="K815" s="14"/>
      <c r="L815" s="14"/>
      <c r="M815" s="14"/>
      <c r="N815" s="14"/>
      <c r="O815" s="14"/>
      <c r="P815" s="14"/>
      <c r="Q815" s="14"/>
      <c r="AB815" s="12"/>
    </row>
    <row r="816" spans="1:29">
      <c r="A816" s="95" t="s">
        <v>426</v>
      </c>
      <c r="B816" s="12">
        <v>0</v>
      </c>
      <c r="C816" s="12"/>
      <c r="D816" s="12"/>
      <c r="E816" s="12"/>
      <c r="F816" s="12"/>
      <c r="G816" s="12" t="s">
        <v>544</v>
      </c>
      <c r="H816" s="46"/>
      <c r="I816" s="46"/>
      <c r="J816" s="12"/>
      <c r="K816" s="12"/>
      <c r="L816" s="12"/>
      <c r="M816" s="12"/>
      <c r="N816" s="12"/>
      <c r="O816" s="12"/>
      <c r="P816" s="12"/>
      <c r="Q816" s="12"/>
      <c r="AB816" s="12"/>
    </row>
    <row r="817" spans="1:29">
      <c r="A817" s="12" t="s">
        <v>278</v>
      </c>
      <c r="B817" s="14">
        <v>3286</v>
      </c>
      <c r="C817" s="12">
        <v>29000</v>
      </c>
      <c r="D817" s="12"/>
      <c r="E817" s="12"/>
      <c r="F817" s="12">
        <v>0</v>
      </c>
      <c r="G817" s="12">
        <f>SUM(B817:F817)</f>
        <v>32286</v>
      </c>
      <c r="H817" s="46"/>
      <c r="I817" s="46"/>
      <c r="J817" s="12"/>
      <c r="K817" s="12"/>
      <c r="L817" s="12"/>
      <c r="M817" s="12"/>
      <c r="N817" s="12"/>
      <c r="O817" s="12"/>
      <c r="P817" s="12"/>
      <c r="Q817" s="12"/>
      <c r="AB817" s="12"/>
      <c r="AC817" s="46" t="s">
        <v>544</v>
      </c>
    </row>
    <row r="818" spans="1:29">
      <c r="A818" s="12" t="s">
        <v>128</v>
      </c>
      <c r="B818" s="12">
        <v>74872</v>
      </c>
      <c r="C818" s="12"/>
      <c r="D818" s="12">
        <v>0</v>
      </c>
      <c r="E818" s="12">
        <v>-74872</v>
      </c>
      <c r="F818" s="12">
        <v>0</v>
      </c>
      <c r="G818" s="12">
        <f>SUM(B818:F818)</f>
        <v>0</v>
      </c>
      <c r="H818" s="46"/>
      <c r="I818" s="46"/>
      <c r="J818" s="12"/>
      <c r="K818" s="12"/>
      <c r="L818" s="12"/>
      <c r="M818" s="12"/>
      <c r="N818" s="12"/>
      <c r="O818" s="12"/>
      <c r="P818" s="12"/>
      <c r="Q818" s="12"/>
      <c r="AB818" s="12"/>
      <c r="AC818" s="46" t="s">
        <v>544</v>
      </c>
    </row>
    <row r="819" spans="1:29">
      <c r="A819" s="12"/>
      <c r="B819" s="12" t="s">
        <v>544</v>
      </c>
      <c r="C819" s="12"/>
      <c r="D819" s="12"/>
      <c r="E819" s="12"/>
      <c r="F819" s="12"/>
      <c r="G819" s="12" t="s">
        <v>544</v>
      </c>
      <c r="H819" s="46"/>
      <c r="I819" s="46"/>
      <c r="J819" s="12"/>
      <c r="K819" s="14"/>
      <c r="L819" s="14"/>
      <c r="M819" s="14"/>
      <c r="N819" s="14"/>
      <c r="O819" s="14"/>
      <c r="P819" s="14"/>
      <c r="Q819" s="14"/>
      <c r="AB819" s="12"/>
    </row>
    <row r="820" spans="1:29">
      <c r="A820" s="13" t="s">
        <v>427</v>
      </c>
      <c r="B820" s="14" t="s">
        <v>544</v>
      </c>
      <c r="C820" s="12"/>
      <c r="D820" s="12"/>
      <c r="E820" s="12"/>
      <c r="F820" s="12"/>
      <c r="G820" s="12" t="s">
        <v>544</v>
      </c>
      <c r="H820" s="46"/>
      <c r="I820" s="46"/>
      <c r="J820" s="12"/>
      <c r="K820" s="12"/>
      <c r="L820" s="12"/>
      <c r="M820" s="12"/>
      <c r="N820" s="12"/>
      <c r="O820" s="12"/>
      <c r="P820" s="12"/>
      <c r="Q820" s="12"/>
      <c r="AB820" s="12"/>
      <c r="AC820" s="46" t="s">
        <v>544</v>
      </c>
    </row>
    <row r="821" spans="1:29">
      <c r="A821" s="12" t="s">
        <v>126</v>
      </c>
      <c r="B821" s="12">
        <v>54875</v>
      </c>
      <c r="C821" s="12">
        <v>72287</v>
      </c>
      <c r="D821" s="12">
        <f>-B821</f>
        <v>-54875</v>
      </c>
      <c r="E821" s="12"/>
      <c r="F821" s="12">
        <v>0</v>
      </c>
      <c r="G821" s="12">
        <f t="shared" ref="G821:G827" si="46">SUM(B821:F821)</f>
        <v>72287</v>
      </c>
      <c r="H821" s="46"/>
      <c r="I821" s="46"/>
      <c r="J821" s="12"/>
      <c r="K821" s="12"/>
      <c r="L821" s="12"/>
      <c r="M821" s="12"/>
      <c r="N821" s="12"/>
      <c r="O821" s="12"/>
      <c r="P821" s="12"/>
      <c r="Q821" s="12"/>
      <c r="AB821" s="12"/>
    </row>
    <row r="822" spans="1:29">
      <c r="A822" s="12" t="s">
        <v>127</v>
      </c>
      <c r="B822" s="12">
        <v>476823.27</v>
      </c>
      <c r="C822" s="12">
        <v>629508.04</v>
      </c>
      <c r="D822" s="12">
        <v>-476823.27</v>
      </c>
      <c r="E822" s="12"/>
      <c r="F822" s="12">
        <v>0</v>
      </c>
      <c r="G822" s="12">
        <f t="shared" si="46"/>
        <v>629508.04</v>
      </c>
      <c r="H822" s="46"/>
      <c r="I822" s="46"/>
      <c r="J822" s="12"/>
      <c r="K822" s="12"/>
      <c r="L822" s="12"/>
      <c r="M822" s="12"/>
      <c r="N822" s="12"/>
      <c r="O822" s="12"/>
      <c r="P822" s="12"/>
      <c r="Q822" s="12"/>
      <c r="AB822" s="12"/>
      <c r="AC822" s="46" t="s">
        <v>544</v>
      </c>
    </row>
    <row r="823" spans="1:29">
      <c r="A823" s="12" t="s">
        <v>23</v>
      </c>
      <c r="B823" s="12"/>
      <c r="C823" s="12">
        <v>20049</v>
      </c>
      <c r="D823" s="12"/>
      <c r="E823" s="12"/>
      <c r="F823" s="12"/>
      <c r="G823" s="12">
        <f t="shared" si="46"/>
        <v>20049</v>
      </c>
      <c r="H823" s="46"/>
      <c r="I823" s="46"/>
      <c r="J823" s="12"/>
      <c r="K823" s="12"/>
      <c r="L823" s="12"/>
      <c r="M823" s="12"/>
      <c r="N823" s="12"/>
      <c r="O823" s="12"/>
      <c r="P823" s="12"/>
      <c r="Q823" s="12"/>
      <c r="AB823" s="12"/>
    </row>
    <row r="824" spans="1:29">
      <c r="A824" s="12" t="s">
        <v>278</v>
      </c>
      <c r="B824" s="12"/>
      <c r="C824" s="12">
        <v>59960</v>
      </c>
      <c r="D824" s="12"/>
      <c r="E824" s="12"/>
      <c r="F824" s="12"/>
      <c r="G824" s="12">
        <f t="shared" si="46"/>
        <v>59960</v>
      </c>
      <c r="H824" s="46"/>
      <c r="I824" s="46"/>
      <c r="J824" s="12"/>
      <c r="K824" s="12"/>
      <c r="L824" s="12"/>
      <c r="M824" s="12"/>
      <c r="N824" s="12"/>
      <c r="O824" s="12"/>
      <c r="P824" s="12"/>
      <c r="Q824" s="12"/>
      <c r="AB824" s="12"/>
    </row>
    <row r="825" spans="1:29">
      <c r="A825" s="12" t="s">
        <v>129</v>
      </c>
      <c r="B825" s="12">
        <v>412874</v>
      </c>
      <c r="C825" s="12">
        <v>1696002</v>
      </c>
      <c r="D825" s="12">
        <v>-412874</v>
      </c>
      <c r="E825" s="12"/>
      <c r="F825" s="12">
        <v>0</v>
      </c>
      <c r="G825" s="12">
        <f t="shared" si="46"/>
        <v>1696002</v>
      </c>
      <c r="H825" s="46"/>
      <c r="I825" s="46"/>
      <c r="J825" s="12"/>
      <c r="K825" s="12"/>
      <c r="L825" s="12"/>
      <c r="M825" s="12"/>
      <c r="N825" s="12"/>
      <c r="O825" s="12"/>
      <c r="P825" s="12"/>
      <c r="Q825" s="12"/>
      <c r="AB825" s="12"/>
      <c r="AC825" s="46" t="s">
        <v>293</v>
      </c>
    </row>
    <row r="826" spans="1:29">
      <c r="A826" s="12" t="s">
        <v>50</v>
      </c>
      <c r="B826" s="12">
        <v>714545.00000000023</v>
      </c>
      <c r="C826" s="12">
        <v>1116767</v>
      </c>
      <c r="D826" s="12">
        <f>-B826</f>
        <v>-714545.00000000023</v>
      </c>
      <c r="E826" s="12"/>
      <c r="F826" s="12">
        <v>0</v>
      </c>
      <c r="G826" s="12">
        <f t="shared" si="46"/>
        <v>1116767</v>
      </c>
      <c r="H826" s="46"/>
      <c r="I826" s="46"/>
      <c r="J826" s="12"/>
      <c r="K826" s="12"/>
      <c r="L826" s="12"/>
      <c r="M826" s="12"/>
      <c r="N826" s="12"/>
      <c r="O826" s="12"/>
      <c r="P826" s="12"/>
      <c r="Q826" s="12"/>
      <c r="AB826" s="12"/>
      <c r="AC826" s="46" t="s">
        <v>544</v>
      </c>
    </row>
    <row r="827" spans="1:29">
      <c r="A827" s="12" t="s">
        <v>257</v>
      </c>
      <c r="B827" s="12">
        <v>3883995</v>
      </c>
      <c r="C827" s="12">
        <v>4796243</v>
      </c>
      <c r="D827" s="12">
        <v>-119590</v>
      </c>
      <c r="E827" s="12"/>
      <c r="F827" s="12">
        <v>-586750</v>
      </c>
      <c r="G827" s="12">
        <f t="shared" si="46"/>
        <v>7973898</v>
      </c>
      <c r="H827" s="46"/>
      <c r="I827" s="46"/>
      <c r="J827" s="12"/>
      <c r="K827" s="14"/>
      <c r="L827" s="14"/>
      <c r="M827" s="14"/>
      <c r="N827" s="14"/>
      <c r="O827" s="14"/>
      <c r="P827" s="14"/>
      <c r="Q827" s="14"/>
      <c r="AB827" s="12"/>
    </row>
    <row r="828" spans="1:29">
      <c r="A828" s="12"/>
      <c r="B828" s="12" t="s">
        <v>544</v>
      </c>
      <c r="C828" s="12"/>
      <c r="D828" s="12"/>
      <c r="E828" s="12"/>
      <c r="F828" s="12"/>
      <c r="G828" s="12" t="s">
        <v>544</v>
      </c>
      <c r="H828" s="46"/>
      <c r="I828" s="46"/>
      <c r="J828" s="12"/>
      <c r="K828" s="14"/>
      <c r="L828" s="14"/>
      <c r="M828" s="14"/>
      <c r="N828" s="14"/>
      <c r="O828" s="14"/>
      <c r="P828" s="14"/>
      <c r="Q828" s="14"/>
      <c r="AB828" s="12"/>
    </row>
    <row r="829" spans="1:29">
      <c r="A829" s="13" t="s">
        <v>428</v>
      </c>
      <c r="B829" s="14" t="s">
        <v>544</v>
      </c>
      <c r="C829" s="12"/>
      <c r="D829" s="12"/>
      <c r="E829" s="12"/>
      <c r="F829" s="12"/>
      <c r="G829" s="12" t="s">
        <v>544</v>
      </c>
      <c r="H829" s="46"/>
      <c r="I829" s="46"/>
      <c r="J829" s="12"/>
      <c r="K829" s="14"/>
      <c r="L829" s="14"/>
      <c r="M829" s="14"/>
      <c r="N829" s="14"/>
      <c r="O829" s="14"/>
      <c r="P829" s="14"/>
      <c r="Q829" s="14"/>
      <c r="AB829" s="12"/>
      <c r="AC829" s="46" t="s">
        <v>544</v>
      </c>
    </row>
    <row r="830" spans="1:29">
      <c r="A830" s="12" t="s">
        <v>257</v>
      </c>
      <c r="B830" s="12">
        <v>3081919</v>
      </c>
      <c r="C830" s="12">
        <v>8154467</v>
      </c>
      <c r="D830" s="12">
        <v>-3081919</v>
      </c>
      <c r="E830" s="12"/>
      <c r="F830" s="12">
        <v>-815447</v>
      </c>
      <c r="G830" s="12">
        <f>SUM(B830:F830)</f>
        <v>7339020</v>
      </c>
      <c r="H830" s="46"/>
      <c r="I830" s="46"/>
      <c r="J830" s="12"/>
      <c r="K830" s="14"/>
      <c r="L830" s="14"/>
      <c r="M830" s="14"/>
      <c r="N830" s="14"/>
      <c r="O830" s="14"/>
      <c r="P830" s="14"/>
      <c r="Q830" s="14"/>
      <c r="AB830" s="12"/>
    </row>
    <row r="831" spans="1:29">
      <c r="A831" s="12"/>
      <c r="B831" s="12" t="s">
        <v>544</v>
      </c>
      <c r="C831" s="12"/>
      <c r="D831" s="12"/>
      <c r="E831" s="12"/>
      <c r="F831" s="12"/>
      <c r="G831" s="12" t="s">
        <v>544</v>
      </c>
      <c r="H831" s="46"/>
      <c r="I831" s="46"/>
      <c r="J831" s="12"/>
      <c r="K831" s="14"/>
      <c r="L831" s="14"/>
      <c r="M831" s="14"/>
      <c r="N831" s="14"/>
      <c r="O831" s="14"/>
      <c r="P831" s="14"/>
      <c r="Q831" s="14"/>
      <c r="AB831" s="12"/>
    </row>
    <row r="832" spans="1:29">
      <c r="A832" s="13" t="s">
        <v>429</v>
      </c>
      <c r="B832" s="12" t="s">
        <v>544</v>
      </c>
      <c r="C832" s="12"/>
      <c r="D832" s="12"/>
      <c r="E832" s="12"/>
      <c r="F832" s="12"/>
      <c r="G832" s="12" t="s">
        <v>544</v>
      </c>
      <c r="H832" s="46"/>
      <c r="I832" s="46"/>
      <c r="J832" s="12"/>
      <c r="K832" s="12"/>
      <c r="L832" s="12"/>
      <c r="M832" s="12"/>
      <c r="N832" s="12"/>
      <c r="O832" s="12"/>
      <c r="P832" s="12"/>
      <c r="Q832" s="12"/>
      <c r="AB832" s="12"/>
    </row>
    <row r="833" spans="1:29">
      <c r="A833" s="12" t="s">
        <v>129</v>
      </c>
      <c r="B833" s="12">
        <v>75000</v>
      </c>
      <c r="C833" s="12"/>
      <c r="D833" s="12">
        <v>-75000</v>
      </c>
      <c r="E833" s="12"/>
      <c r="F833" s="12">
        <v>0</v>
      </c>
      <c r="G833" s="12">
        <f>SUM(B833:F833)</f>
        <v>0</v>
      </c>
      <c r="H833" s="46"/>
      <c r="I833" s="46"/>
      <c r="J833" s="12"/>
      <c r="K833" s="14"/>
      <c r="L833" s="14"/>
      <c r="M833" s="14"/>
      <c r="N833" s="14"/>
      <c r="O833" s="14"/>
      <c r="P833" s="14"/>
      <c r="Q833" s="14"/>
      <c r="AB833" s="12"/>
    </row>
    <row r="834" spans="1:29">
      <c r="A834" s="12"/>
      <c r="B834" s="12" t="s">
        <v>544</v>
      </c>
      <c r="C834" s="12"/>
      <c r="D834" s="12"/>
      <c r="E834" s="12"/>
      <c r="F834" s="12"/>
      <c r="G834" s="12" t="s">
        <v>544</v>
      </c>
      <c r="H834" s="46"/>
      <c r="I834" s="46"/>
      <c r="J834" s="12"/>
      <c r="K834" s="14"/>
      <c r="L834" s="14"/>
      <c r="M834" s="14"/>
      <c r="N834" s="14"/>
      <c r="O834" s="14"/>
      <c r="P834" s="14"/>
      <c r="Q834" s="14"/>
      <c r="AB834" s="12"/>
    </row>
    <row r="835" spans="1:29">
      <c r="A835" s="13" t="s">
        <v>430</v>
      </c>
      <c r="B835" s="14" t="s">
        <v>544</v>
      </c>
      <c r="C835" s="12"/>
      <c r="D835" s="12"/>
      <c r="E835" s="12"/>
      <c r="F835" s="12"/>
      <c r="G835" s="12" t="s">
        <v>544</v>
      </c>
      <c r="H835" s="46"/>
      <c r="I835" s="46"/>
      <c r="J835" s="12"/>
      <c r="K835" s="12"/>
      <c r="L835" s="12"/>
      <c r="M835" s="12"/>
      <c r="N835" s="12"/>
      <c r="O835" s="12"/>
      <c r="P835" s="12"/>
      <c r="Q835" s="12"/>
      <c r="AB835" s="12"/>
    </row>
    <row r="836" spans="1:29">
      <c r="A836" s="12" t="s">
        <v>127</v>
      </c>
      <c r="B836" s="12">
        <v>-18271</v>
      </c>
      <c r="C836" s="12"/>
      <c r="D836" s="12"/>
      <c r="E836" s="12">
        <v>18271</v>
      </c>
      <c r="F836" s="12">
        <v>0</v>
      </c>
      <c r="G836" s="12">
        <f>SUM(B836:F836)</f>
        <v>0</v>
      </c>
      <c r="H836" s="46"/>
      <c r="I836" s="46"/>
      <c r="J836" s="12"/>
      <c r="K836" s="12"/>
      <c r="L836" s="12"/>
      <c r="M836" s="12"/>
      <c r="N836" s="12"/>
      <c r="O836" s="12"/>
      <c r="P836" s="12"/>
      <c r="Q836" s="12"/>
      <c r="AB836" s="12"/>
    </row>
    <row r="837" spans="1:29">
      <c r="A837" s="12" t="s">
        <v>278</v>
      </c>
      <c r="B837" s="12">
        <v>52181</v>
      </c>
      <c r="C837" s="12">
        <v>45936</v>
      </c>
      <c r="D837" s="12">
        <v>-38607</v>
      </c>
      <c r="E837" s="12"/>
      <c r="F837" s="12">
        <v>0</v>
      </c>
      <c r="G837" s="12">
        <f>SUM(B837:F837)</f>
        <v>59510</v>
      </c>
      <c r="H837" s="46"/>
      <c r="I837" s="46"/>
      <c r="J837" s="12"/>
      <c r="K837" s="14"/>
      <c r="L837" s="14"/>
      <c r="M837" s="14"/>
      <c r="N837" s="14"/>
      <c r="O837" s="14"/>
      <c r="P837" s="14"/>
      <c r="Q837" s="14"/>
      <c r="AB837" s="12"/>
    </row>
    <row r="838" spans="1:29">
      <c r="A838" s="12"/>
      <c r="B838" s="12" t="s">
        <v>544</v>
      </c>
      <c r="C838" s="12"/>
      <c r="D838" s="12"/>
      <c r="E838" s="12"/>
      <c r="F838" s="12"/>
      <c r="G838" s="12" t="s">
        <v>544</v>
      </c>
      <c r="H838" s="46"/>
      <c r="I838" s="46"/>
      <c r="J838" s="12"/>
      <c r="K838" s="14"/>
      <c r="L838" s="14"/>
      <c r="M838" s="14"/>
      <c r="N838" s="14"/>
      <c r="O838" s="14"/>
      <c r="P838" s="14"/>
      <c r="Q838" s="14"/>
      <c r="AB838" s="12"/>
    </row>
    <row r="839" spans="1:29">
      <c r="A839" s="12"/>
      <c r="B839" s="12" t="s">
        <v>544</v>
      </c>
      <c r="C839" s="12"/>
      <c r="D839" s="12"/>
      <c r="E839" s="12"/>
      <c r="F839" s="12"/>
      <c r="G839" s="12" t="s">
        <v>544</v>
      </c>
      <c r="H839" s="46"/>
      <c r="I839" s="46"/>
      <c r="J839" s="12"/>
      <c r="K839" s="14"/>
      <c r="L839" s="14"/>
      <c r="M839" s="14"/>
      <c r="N839" s="14"/>
      <c r="O839" s="14"/>
      <c r="P839" s="14"/>
      <c r="Q839" s="14"/>
      <c r="AB839" s="12"/>
    </row>
    <row r="840" spans="1:29">
      <c r="A840" s="13" t="s">
        <v>431</v>
      </c>
      <c r="B840" s="14" t="s">
        <v>544</v>
      </c>
      <c r="C840" s="12"/>
      <c r="D840" s="12"/>
      <c r="E840" s="12"/>
      <c r="F840" s="12"/>
      <c r="G840" s="12" t="s">
        <v>544</v>
      </c>
      <c r="H840" s="46"/>
      <c r="I840" s="46"/>
      <c r="J840" s="12"/>
      <c r="K840" s="12"/>
      <c r="L840" s="12"/>
      <c r="M840" s="12"/>
      <c r="N840" s="12"/>
      <c r="O840" s="12"/>
      <c r="P840" s="12"/>
      <c r="Q840" s="12"/>
      <c r="AB840" s="12"/>
      <c r="AC840" s="46" t="s">
        <v>544</v>
      </c>
    </row>
    <row r="841" spans="1:29">
      <c r="A841" s="12" t="s">
        <v>278</v>
      </c>
      <c r="B841" s="12">
        <v>40640</v>
      </c>
      <c r="C841" s="12"/>
      <c r="D841" s="12"/>
      <c r="E841" s="12"/>
      <c r="F841" s="12">
        <v>0</v>
      </c>
      <c r="G841" s="12">
        <f>SUM(B841:F841)</f>
        <v>40640</v>
      </c>
      <c r="H841" s="46"/>
      <c r="I841" s="46"/>
      <c r="J841" s="12"/>
      <c r="K841" s="12"/>
      <c r="L841" s="12"/>
      <c r="M841" s="12"/>
      <c r="N841" s="12"/>
      <c r="O841" s="12"/>
      <c r="P841" s="12"/>
      <c r="Q841" s="12"/>
      <c r="AB841" s="12"/>
      <c r="AC841" s="46" t="s">
        <v>544</v>
      </c>
    </row>
    <row r="842" spans="1:29">
      <c r="A842" s="12" t="s">
        <v>128</v>
      </c>
      <c r="B842" s="12">
        <v>306620</v>
      </c>
      <c r="C842" s="12"/>
      <c r="D842" s="12">
        <v>0</v>
      </c>
      <c r="E842" s="12">
        <v>-306620</v>
      </c>
      <c r="F842" s="12">
        <v>0</v>
      </c>
      <c r="G842" s="12">
        <f>SUM(B842:F842)</f>
        <v>0</v>
      </c>
      <c r="H842" s="46"/>
      <c r="I842" s="46"/>
      <c r="J842" s="12"/>
      <c r="K842" s="12"/>
      <c r="L842" s="12"/>
      <c r="M842" s="12"/>
      <c r="N842" s="12"/>
      <c r="O842" s="12"/>
      <c r="P842" s="12"/>
      <c r="Q842" s="12"/>
      <c r="AB842" s="12"/>
      <c r="AC842" s="46" t="s">
        <v>544</v>
      </c>
    </row>
    <row r="843" spans="1:29">
      <c r="A843" s="12" t="s">
        <v>129</v>
      </c>
      <c r="B843" s="12">
        <v>163300</v>
      </c>
      <c r="C843" s="12"/>
      <c r="D843" s="12"/>
      <c r="E843" s="12"/>
      <c r="F843" s="12">
        <v>0</v>
      </c>
      <c r="G843" s="12">
        <f>SUM(B843:F843)</f>
        <v>163300</v>
      </c>
      <c r="H843" s="46"/>
      <c r="I843" s="46"/>
      <c r="J843" s="12"/>
      <c r="K843" s="14"/>
      <c r="L843" s="14"/>
      <c r="M843" s="14"/>
      <c r="N843" s="14"/>
      <c r="O843" s="14"/>
      <c r="P843" s="14"/>
      <c r="Q843" s="14"/>
      <c r="AB843" s="12"/>
    </row>
    <row r="844" spans="1:29">
      <c r="A844" s="12"/>
      <c r="B844" s="12" t="s">
        <v>544</v>
      </c>
      <c r="C844" s="12"/>
      <c r="D844" s="12"/>
      <c r="E844" s="12"/>
      <c r="F844" s="12"/>
      <c r="G844" s="12" t="s">
        <v>544</v>
      </c>
      <c r="H844" s="46"/>
      <c r="I844" s="46"/>
      <c r="J844" s="12"/>
      <c r="K844" s="14"/>
      <c r="L844" s="14"/>
      <c r="M844" s="14"/>
      <c r="N844" s="14"/>
      <c r="O844" s="14"/>
      <c r="P844" s="14"/>
      <c r="Q844" s="14"/>
      <c r="AB844" s="12"/>
    </row>
    <row r="845" spans="1:29">
      <c r="A845" s="13" t="s">
        <v>432</v>
      </c>
      <c r="B845" s="14" t="s">
        <v>544</v>
      </c>
      <c r="C845" s="12"/>
      <c r="D845" s="12"/>
      <c r="E845" s="12"/>
      <c r="F845" s="12"/>
      <c r="G845" s="12" t="s">
        <v>544</v>
      </c>
      <c r="H845" s="46"/>
      <c r="I845" s="46"/>
      <c r="J845" s="12"/>
      <c r="K845" s="12"/>
      <c r="L845" s="12"/>
      <c r="M845" s="12"/>
      <c r="N845" s="12"/>
      <c r="O845" s="12"/>
      <c r="P845" s="12"/>
      <c r="Q845" s="12"/>
      <c r="AB845" s="12"/>
      <c r="AC845" s="46" t="s">
        <v>544</v>
      </c>
    </row>
    <row r="846" spans="1:29">
      <c r="A846" s="12" t="s">
        <v>278</v>
      </c>
      <c r="B846" s="12">
        <v>50000</v>
      </c>
      <c r="C846" s="12"/>
      <c r="D846" s="12"/>
      <c r="E846" s="12"/>
      <c r="F846" s="12">
        <v>0</v>
      </c>
      <c r="G846" s="12">
        <f>SUM(B846:F846)</f>
        <v>50000</v>
      </c>
      <c r="H846" s="46"/>
      <c r="I846" s="46"/>
      <c r="J846" s="12"/>
      <c r="K846" s="14"/>
      <c r="L846" s="14"/>
      <c r="M846" s="14"/>
      <c r="N846" s="14"/>
      <c r="O846" s="14"/>
      <c r="P846" s="14"/>
      <c r="Q846" s="14"/>
      <c r="AB846" s="12"/>
    </row>
    <row r="847" spans="1:29">
      <c r="A847" s="12"/>
      <c r="B847" s="12">
        <v>0</v>
      </c>
      <c r="C847" s="12"/>
      <c r="D847" s="12"/>
      <c r="E847" s="12"/>
      <c r="F847" s="12"/>
      <c r="G847" s="12" t="s">
        <v>544</v>
      </c>
      <c r="H847" s="46"/>
      <c r="I847" s="46"/>
      <c r="J847" s="12"/>
      <c r="K847" s="14"/>
      <c r="L847" s="14"/>
      <c r="M847" s="14"/>
      <c r="N847" s="14"/>
      <c r="O847" s="14"/>
      <c r="P847" s="14"/>
      <c r="Q847" s="14"/>
      <c r="AB847" s="12"/>
    </row>
    <row r="848" spans="1:29">
      <c r="A848" s="13" t="s">
        <v>433</v>
      </c>
      <c r="B848" s="14" t="s">
        <v>544</v>
      </c>
      <c r="C848" s="12"/>
      <c r="D848" s="12"/>
      <c r="E848" s="12"/>
      <c r="F848" s="12"/>
      <c r="G848" s="12" t="s">
        <v>544</v>
      </c>
      <c r="H848" s="46"/>
      <c r="I848" s="46"/>
      <c r="J848" s="12"/>
      <c r="K848" s="12"/>
      <c r="L848" s="12"/>
      <c r="M848" s="12"/>
      <c r="N848" s="12"/>
      <c r="O848" s="12"/>
      <c r="P848" s="12"/>
      <c r="Q848" s="12"/>
      <c r="AB848" s="12"/>
      <c r="AC848" s="46" t="s">
        <v>544</v>
      </c>
    </row>
    <row r="849" spans="1:29">
      <c r="A849" s="12" t="s">
        <v>278</v>
      </c>
      <c r="B849" s="12">
        <v>336479</v>
      </c>
      <c r="C849" s="12">
        <v>107344</v>
      </c>
      <c r="D849" s="12">
        <v>-230560</v>
      </c>
      <c r="E849" s="12">
        <v>0</v>
      </c>
      <c r="F849" s="12">
        <v>0</v>
      </c>
      <c r="G849" s="12">
        <f t="shared" ref="G849:G854" si="47">SUM(B849:F849)</f>
        <v>213263</v>
      </c>
      <c r="H849" s="46"/>
      <c r="I849" s="46"/>
      <c r="J849" s="12"/>
      <c r="K849" s="12"/>
      <c r="L849" s="12"/>
      <c r="M849" s="12"/>
      <c r="N849" s="12"/>
      <c r="O849" s="12"/>
      <c r="P849" s="12"/>
      <c r="Q849" s="12"/>
      <c r="AB849" s="12"/>
      <c r="AC849" s="46" t="s">
        <v>544</v>
      </c>
    </row>
    <row r="850" spans="1:29">
      <c r="A850" s="12" t="s">
        <v>50</v>
      </c>
      <c r="B850" s="12"/>
      <c r="C850" s="12">
        <v>84232</v>
      </c>
      <c r="D850" s="12">
        <v>0</v>
      </c>
      <c r="E850" s="12">
        <v>0</v>
      </c>
      <c r="F850" s="12">
        <v>0</v>
      </c>
      <c r="G850" s="12">
        <f t="shared" si="47"/>
        <v>84232</v>
      </c>
      <c r="H850" s="46"/>
      <c r="I850" s="46"/>
      <c r="J850" s="12"/>
      <c r="K850" s="12"/>
      <c r="L850" s="12"/>
      <c r="M850" s="12"/>
      <c r="N850" s="12"/>
      <c r="O850" s="12"/>
      <c r="P850" s="12"/>
      <c r="Q850" s="12"/>
      <c r="AB850" s="12"/>
    </row>
    <row r="851" spans="1:29">
      <c r="A851" s="12" t="s">
        <v>126</v>
      </c>
      <c r="B851" s="12">
        <v>164928</v>
      </c>
      <c r="C851" s="12">
        <v>12720</v>
      </c>
      <c r="D851" s="12">
        <v>-10290</v>
      </c>
      <c r="E851" s="12">
        <v>0</v>
      </c>
      <c r="F851" s="12">
        <v>0</v>
      </c>
      <c r="G851" s="12">
        <f t="shared" si="47"/>
        <v>167358</v>
      </c>
      <c r="H851" s="46"/>
      <c r="I851" s="46"/>
      <c r="J851" s="12"/>
      <c r="K851" s="14"/>
      <c r="L851" s="14"/>
      <c r="M851" s="14"/>
      <c r="N851" s="14"/>
      <c r="O851" s="14"/>
      <c r="P851" s="14"/>
      <c r="Q851" s="14"/>
      <c r="AB851" s="12"/>
    </row>
    <row r="852" spans="1:29">
      <c r="A852" s="12" t="s">
        <v>561</v>
      </c>
      <c r="B852" s="12"/>
      <c r="C852" s="12">
        <v>17900</v>
      </c>
      <c r="D852" s="12">
        <v>0</v>
      </c>
      <c r="E852" s="12">
        <v>0</v>
      </c>
      <c r="F852" s="12">
        <v>0</v>
      </c>
      <c r="G852" s="12">
        <f t="shared" si="47"/>
        <v>17900</v>
      </c>
      <c r="H852" s="46"/>
      <c r="I852" s="46"/>
      <c r="J852" s="12"/>
      <c r="K852" s="14"/>
      <c r="L852" s="14"/>
      <c r="M852" s="14"/>
      <c r="N852" s="14"/>
      <c r="O852" s="14"/>
      <c r="P852" s="14"/>
      <c r="Q852" s="14"/>
      <c r="AB852" s="12"/>
    </row>
    <row r="853" spans="1:29">
      <c r="A853" s="12" t="s">
        <v>127</v>
      </c>
      <c r="B853" s="12"/>
      <c r="C853" s="12">
        <v>31891</v>
      </c>
      <c r="D853" s="12">
        <v>0</v>
      </c>
      <c r="E853" s="12">
        <v>0</v>
      </c>
      <c r="F853" s="12">
        <v>0</v>
      </c>
      <c r="G853" s="12">
        <f t="shared" si="47"/>
        <v>31891</v>
      </c>
      <c r="H853" s="46"/>
      <c r="I853" s="46"/>
      <c r="J853" s="12"/>
      <c r="K853" s="14"/>
      <c r="L853" s="14"/>
      <c r="M853" s="14"/>
      <c r="N853" s="14"/>
      <c r="O853" s="14"/>
      <c r="P853" s="14"/>
      <c r="Q853" s="14"/>
      <c r="AB853" s="12"/>
    </row>
    <row r="854" spans="1:29">
      <c r="A854" s="12" t="s">
        <v>129</v>
      </c>
      <c r="B854" s="12"/>
      <c r="C854" s="12">
        <v>187537</v>
      </c>
      <c r="D854" s="12">
        <v>0</v>
      </c>
      <c r="E854" s="12">
        <v>0</v>
      </c>
      <c r="F854" s="12">
        <v>0</v>
      </c>
      <c r="G854" s="12">
        <f t="shared" si="47"/>
        <v>187537</v>
      </c>
      <c r="H854" s="46"/>
      <c r="I854" s="46"/>
      <c r="J854" s="12"/>
      <c r="K854" s="14"/>
      <c r="L854" s="14"/>
      <c r="M854" s="14"/>
      <c r="N854" s="14"/>
      <c r="O854" s="14"/>
      <c r="P854" s="14"/>
      <c r="Q854" s="14"/>
      <c r="AB854" s="12"/>
    </row>
    <row r="855" spans="1:29">
      <c r="A855" s="12"/>
      <c r="B855" s="12" t="s">
        <v>544</v>
      </c>
      <c r="C855" s="12"/>
      <c r="D855" s="12"/>
      <c r="E855" s="12"/>
      <c r="F855" s="12"/>
      <c r="G855" s="12" t="s">
        <v>544</v>
      </c>
      <c r="H855" s="46"/>
      <c r="I855" s="46"/>
      <c r="J855" s="12"/>
      <c r="K855" s="14"/>
      <c r="L855" s="14"/>
      <c r="M855" s="14"/>
      <c r="N855" s="14"/>
      <c r="O855" s="14"/>
      <c r="P855" s="14"/>
      <c r="Q855" s="14"/>
      <c r="AB855" s="12"/>
    </row>
    <row r="856" spans="1:29">
      <c r="A856" s="13" t="s">
        <v>501</v>
      </c>
      <c r="B856" s="14" t="s">
        <v>544</v>
      </c>
      <c r="C856" s="12"/>
      <c r="D856" s="12"/>
      <c r="E856" s="12"/>
      <c r="F856" s="12"/>
      <c r="G856" s="12" t="s">
        <v>544</v>
      </c>
      <c r="H856" s="46"/>
      <c r="I856" s="46"/>
      <c r="J856" s="12"/>
      <c r="K856" s="14"/>
      <c r="L856" s="14"/>
      <c r="M856" s="14"/>
      <c r="N856" s="14"/>
      <c r="O856" s="14"/>
      <c r="P856" s="14"/>
      <c r="Q856" s="14"/>
      <c r="AB856" s="12"/>
    </row>
    <row r="857" spans="1:29">
      <c r="A857" s="12" t="s">
        <v>594</v>
      </c>
      <c r="B857" s="12">
        <v>794951</v>
      </c>
      <c r="C857" s="12"/>
      <c r="D857" s="12"/>
      <c r="E857" s="12"/>
      <c r="F857" s="12">
        <v>0</v>
      </c>
      <c r="G857" s="12">
        <f>SUM(B857:F857)</f>
        <v>794951</v>
      </c>
      <c r="H857" s="46"/>
      <c r="I857" s="46"/>
      <c r="J857" s="12"/>
      <c r="K857" s="14"/>
      <c r="L857" s="14"/>
      <c r="M857" s="14"/>
      <c r="N857" s="14"/>
      <c r="O857" s="14"/>
      <c r="P857" s="14"/>
      <c r="Q857" s="14"/>
      <c r="AB857" s="12"/>
    </row>
    <row r="858" spans="1:29">
      <c r="A858" s="12"/>
      <c r="B858" s="12"/>
      <c r="C858" s="12"/>
      <c r="D858" s="12"/>
      <c r="E858" s="12"/>
      <c r="F858" s="12"/>
      <c r="G858" s="12"/>
      <c r="H858" s="46"/>
      <c r="I858" s="46"/>
      <c r="J858" s="12"/>
      <c r="K858" s="14"/>
      <c r="L858" s="14"/>
      <c r="M858" s="14"/>
      <c r="N858" s="14"/>
      <c r="O858" s="14"/>
      <c r="P858" s="14"/>
      <c r="Q858" s="14"/>
      <c r="AB858" s="12"/>
    </row>
    <row r="859" spans="1:29" ht="13.5" thickBot="1">
      <c r="A859" s="144" t="s">
        <v>439</v>
      </c>
      <c r="B859" s="81">
        <f>SUM(B799:B857)</f>
        <v>66170688.270000003</v>
      </c>
      <c r="C859" s="81">
        <f>SUM(C799:C856)</f>
        <v>26397488.039999999</v>
      </c>
      <c r="D859" s="81">
        <f>SUM(D799:D856)</f>
        <v>-5297224.2700000005</v>
      </c>
      <c r="E859" s="81">
        <f>SUM(E799:E856)</f>
        <v>-685223</v>
      </c>
      <c r="F859" s="81">
        <f>SUM(F799:F856)</f>
        <v>-1402197</v>
      </c>
      <c r="G859" s="81">
        <f>SUM(G799:G857)</f>
        <v>85183532.039999992</v>
      </c>
      <c r="H859" s="46"/>
      <c r="I859" s="46"/>
      <c r="J859" s="107"/>
      <c r="K859" s="13"/>
      <c r="L859" s="13"/>
      <c r="M859" s="13"/>
      <c r="N859" s="13"/>
      <c r="O859" s="13"/>
      <c r="P859" s="13"/>
      <c r="Q859" s="13"/>
      <c r="AB859" s="13"/>
    </row>
    <row r="860" spans="1:29" ht="13.5" thickTop="1">
      <c r="A860" s="144" t="s">
        <v>544</v>
      </c>
      <c r="B860" s="143"/>
      <c r="C860" s="143"/>
      <c r="D860" s="143"/>
      <c r="E860" s="46"/>
      <c r="F860" s="143"/>
      <c r="G860" s="143"/>
      <c r="H860" s="143"/>
      <c r="I860" s="178"/>
      <c r="J860" s="178"/>
      <c r="K860" s="46"/>
      <c r="L860" s="46"/>
      <c r="M860" s="46"/>
      <c r="N860" s="46"/>
      <c r="O860" s="46"/>
      <c r="P860" s="46"/>
      <c r="Q860" s="46"/>
    </row>
    <row r="861" spans="1:29"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AA861" s="116">
        <f>G859-[2]bs!E70</f>
        <v>19012843.769999988</v>
      </c>
    </row>
    <row r="862" spans="1:29"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</row>
    <row r="863" spans="1:29"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</row>
    <row r="866" spans="1:23">
      <c r="U866" s="179"/>
    </row>
    <row r="869" spans="1:23" ht="15.75">
      <c r="A869" s="12"/>
      <c r="B869" s="12"/>
      <c r="C869" s="36" t="s">
        <v>938</v>
      </c>
      <c r="F869" s="36"/>
      <c r="G869" s="3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144"/>
      <c r="S869" s="144"/>
      <c r="T869" s="144"/>
      <c r="U869" s="46"/>
      <c r="V869" s="180"/>
      <c r="W869" s="180"/>
    </row>
    <row r="870" spans="1:23">
      <c r="A870" s="66" t="s">
        <v>304</v>
      </c>
      <c r="B870" s="15"/>
      <c r="C870" s="12"/>
      <c r="F870" s="12"/>
      <c r="G870" s="12"/>
      <c r="H870" s="134"/>
      <c r="I870" s="134"/>
      <c r="J870" s="134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180"/>
      <c r="W870" s="180"/>
    </row>
    <row r="871" spans="1:23">
      <c r="A871" s="16"/>
      <c r="B871" s="74" t="s">
        <v>542</v>
      </c>
      <c r="C871" s="74" t="s">
        <v>543</v>
      </c>
      <c r="F871" s="74"/>
      <c r="G871" s="74"/>
      <c r="H871" s="46"/>
      <c r="I871" s="46"/>
      <c r="J871" s="46"/>
      <c r="K871" s="145"/>
      <c r="L871" s="145"/>
      <c r="M871" s="145"/>
      <c r="N871" s="145"/>
      <c r="O871" s="145"/>
      <c r="P871" s="145"/>
      <c r="Q871" s="145"/>
      <c r="R871" s="46"/>
      <c r="S871" s="112"/>
      <c r="T871" s="112"/>
      <c r="U871" s="46"/>
      <c r="V871" s="180"/>
      <c r="W871" s="180"/>
    </row>
    <row r="872" spans="1:23">
      <c r="A872" s="16" t="s">
        <v>536</v>
      </c>
      <c r="B872" s="74" t="s">
        <v>83</v>
      </c>
      <c r="C872" s="74" t="s">
        <v>537</v>
      </c>
      <c r="F872" s="74"/>
      <c r="G872" s="74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46"/>
      <c r="S872" s="112"/>
      <c r="T872" s="112"/>
      <c r="U872" s="46"/>
      <c r="V872" s="180"/>
      <c r="W872" s="180"/>
    </row>
    <row r="873" spans="1:23">
      <c r="A873" s="16"/>
      <c r="B873" s="146"/>
      <c r="C873" s="146"/>
      <c r="F873" s="146"/>
      <c r="G873" s="1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147"/>
      <c r="T873" s="147"/>
      <c r="U873" s="46"/>
      <c r="V873" s="180"/>
      <c r="W873" s="180"/>
    </row>
    <row r="874" spans="1:23">
      <c r="A874" s="60" t="s">
        <v>139</v>
      </c>
      <c r="B874" s="60">
        <f>+C878</f>
        <v>21216814190</v>
      </c>
      <c r="C874" s="24">
        <v>7441814190</v>
      </c>
      <c r="F874" s="24"/>
      <c r="G874" s="24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46"/>
      <c r="S874" s="60"/>
      <c r="T874" s="60"/>
      <c r="U874" s="46"/>
      <c r="V874" s="180"/>
      <c r="W874" s="180"/>
    </row>
    <row r="875" spans="1:23">
      <c r="A875" s="12"/>
      <c r="B875" s="14" t="s">
        <v>544</v>
      </c>
      <c r="C875" s="24" t="s">
        <v>544</v>
      </c>
      <c r="F875" s="24" t="s">
        <v>544</v>
      </c>
      <c r="G875" s="24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46"/>
      <c r="S875" s="14"/>
      <c r="T875" s="14"/>
      <c r="U875" s="46"/>
      <c r="V875" s="180"/>
      <c r="W875" s="180"/>
    </row>
    <row r="876" spans="1:23">
      <c r="A876" s="12" t="s">
        <v>40</v>
      </c>
      <c r="B876" s="24">
        <v>1080000000</v>
      </c>
      <c r="C876" s="24">
        <v>13775000000</v>
      </c>
      <c r="F876" s="24"/>
      <c r="G876" s="24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46"/>
      <c r="S876" s="24"/>
      <c r="T876" s="24"/>
      <c r="U876" s="46"/>
      <c r="V876" s="180"/>
      <c r="W876" s="180"/>
    </row>
    <row r="877" spans="1:23">
      <c r="A877" s="12"/>
      <c r="B877" s="24"/>
      <c r="C877" s="24"/>
      <c r="F877" s="24"/>
      <c r="G877" s="24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46"/>
      <c r="S877" s="24"/>
      <c r="T877" s="24"/>
      <c r="U877" s="46"/>
      <c r="V877" s="180"/>
      <c r="W877" s="180"/>
    </row>
    <row r="878" spans="1:23">
      <c r="A878" s="22" t="s">
        <v>151</v>
      </c>
      <c r="B878" s="148">
        <f>SUM(B874:B877)</f>
        <v>22296814190</v>
      </c>
      <c r="C878" s="148">
        <f>SUM(C874:C877)</f>
        <v>21216814190</v>
      </c>
      <c r="F878" s="148"/>
      <c r="G878" s="148"/>
      <c r="H878" s="46"/>
      <c r="I878" s="46"/>
      <c r="J878" s="46"/>
      <c r="K878" s="30"/>
      <c r="L878" s="30"/>
      <c r="M878" s="30"/>
      <c r="N878" s="30"/>
      <c r="O878" s="30"/>
      <c r="P878" s="30"/>
      <c r="Q878" s="30"/>
      <c r="R878" s="46"/>
      <c r="S878" s="148"/>
      <c r="T878" s="148"/>
      <c r="U878" s="46"/>
      <c r="V878" s="180"/>
      <c r="W878" s="180"/>
    </row>
    <row r="879" spans="1:23">
      <c r="A879" s="22" t="s">
        <v>544</v>
      </c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12"/>
      <c r="S879" s="12"/>
      <c r="T879" s="12"/>
      <c r="U879" s="12"/>
      <c r="V879" s="180"/>
      <c r="W879" s="180"/>
    </row>
    <row r="880" spans="1:23">
      <c r="V880" s="180"/>
      <c r="W880" s="180"/>
    </row>
    <row r="881" spans="1:34">
      <c r="V881" s="180"/>
      <c r="W881" s="180"/>
    </row>
    <row r="882" spans="1:34">
      <c r="A882" s="12"/>
      <c r="B882" s="14"/>
      <c r="C882" s="14"/>
      <c r="D882" s="14"/>
      <c r="E882" s="14"/>
      <c r="F882" s="14"/>
      <c r="G882" s="14"/>
      <c r="H882" s="14"/>
      <c r="I882" s="14"/>
      <c r="J882" s="14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4">
        <v>-1182568862.4300001</v>
      </c>
      <c r="W882" s="181">
        <f>'[2]c-bs'!T37</f>
        <v>-1182568862.4300001</v>
      </c>
      <c r="AB882" s="117"/>
      <c r="AD882" s="46"/>
      <c r="AE882" s="46"/>
      <c r="AF882" s="46"/>
      <c r="AH882" s="46"/>
    </row>
    <row r="883" spans="1:34">
      <c r="A883" s="12"/>
      <c r="B883" s="14"/>
      <c r="C883" s="14"/>
      <c r="D883" s="14"/>
      <c r="E883" s="14"/>
      <c r="F883" s="14"/>
      <c r="G883" s="14"/>
      <c r="H883" s="14"/>
      <c r="I883" s="14"/>
      <c r="J883" s="14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4">
        <v>825142842.02999997</v>
      </c>
      <c r="W883" s="181">
        <f>'[2]c-bs'!T180</f>
        <v>825142842.02999997</v>
      </c>
      <c r="AB883" s="117"/>
      <c r="AD883" s="46"/>
      <c r="AE883" s="46"/>
      <c r="AF883" s="46"/>
      <c r="AH883" s="46"/>
    </row>
    <row r="884" spans="1:34">
      <c r="A884" s="12"/>
      <c r="B884" s="14"/>
      <c r="C884" s="14"/>
      <c r="D884" s="14"/>
      <c r="E884" s="14"/>
      <c r="F884" s="14"/>
      <c r="G884" s="14"/>
      <c r="H884" s="14"/>
      <c r="I884" s="14"/>
      <c r="J884" s="14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4">
        <f>V883-V882</f>
        <v>2007711704.46</v>
      </c>
      <c r="W884" s="181">
        <f>+W883-W882</f>
        <v>2007711704.46</v>
      </c>
      <c r="AB884" s="117"/>
      <c r="AD884" s="46"/>
      <c r="AE884" s="46"/>
      <c r="AF884" s="46"/>
      <c r="AH884" s="46"/>
    </row>
    <row r="885" spans="1:34">
      <c r="B885" s="46"/>
      <c r="C885" s="46"/>
      <c r="D885" s="46"/>
      <c r="E885" s="46"/>
      <c r="F885" s="28"/>
      <c r="G885" s="28"/>
      <c r="H885" s="28"/>
      <c r="I885" s="14"/>
      <c r="J885" s="14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4" t="e">
        <f>#REF!-V884</f>
        <v>#REF!</v>
      </c>
      <c r="AB885" s="117"/>
      <c r="AD885" s="46"/>
      <c r="AE885" s="46"/>
      <c r="AF885" s="46"/>
      <c r="AH885" s="46"/>
    </row>
    <row r="886" spans="1:34">
      <c r="B886" s="46"/>
      <c r="C886" s="46"/>
      <c r="D886" s="46"/>
      <c r="E886" s="46"/>
      <c r="F886" s="28"/>
      <c r="G886" s="28"/>
      <c r="H886" s="28"/>
      <c r="U886" s="46"/>
      <c r="V886" s="46"/>
      <c r="W886" s="46"/>
    </row>
    <row r="887" spans="1:34">
      <c r="B887" s="46"/>
      <c r="C887" s="46"/>
      <c r="D887" s="46"/>
      <c r="E887" s="46"/>
      <c r="F887" s="28"/>
      <c r="G887" s="28"/>
      <c r="H887" s="28"/>
      <c r="W887" s="46"/>
    </row>
    <row r="888" spans="1:34">
      <c r="B888" s="46"/>
      <c r="C888" s="46"/>
      <c r="D888" s="46"/>
      <c r="E888" s="46"/>
      <c r="F888" s="28"/>
      <c r="G888" s="28"/>
      <c r="H888" s="28"/>
      <c r="W888" s="46"/>
    </row>
    <row r="889" spans="1:34">
      <c r="B889" s="46"/>
      <c r="C889" s="46"/>
      <c r="D889" s="46"/>
      <c r="E889" s="46"/>
      <c r="F889" s="182"/>
      <c r="G889" s="182"/>
      <c r="H889" s="182" t="s">
        <v>439</v>
      </c>
      <c r="W889" s="46"/>
    </row>
    <row r="890" spans="1:34">
      <c r="B890" s="46"/>
      <c r="C890" s="46"/>
      <c r="D890" s="46"/>
      <c r="E890" s="46"/>
      <c r="F890" s="182"/>
      <c r="G890" s="182"/>
      <c r="H890" s="182"/>
    </row>
    <row r="891" spans="1:34">
      <c r="B891" s="46"/>
      <c r="C891" s="46"/>
      <c r="D891" s="46"/>
      <c r="E891" s="46"/>
      <c r="F891" s="182"/>
      <c r="G891" s="182"/>
      <c r="H891" s="182"/>
    </row>
    <row r="892" spans="1:34">
      <c r="B892" s="46"/>
      <c r="C892" s="46"/>
      <c r="D892" s="46"/>
      <c r="E892" s="46"/>
      <c r="F892" s="28"/>
      <c r="G892" s="28"/>
      <c r="H892" s="28"/>
    </row>
    <row r="893" spans="1:34">
      <c r="B893" s="46"/>
      <c r="C893" s="46"/>
      <c r="D893" s="46"/>
      <c r="E893" s="46"/>
      <c r="F893" s="102"/>
      <c r="G893" s="102"/>
      <c r="H893" s="102">
        <f>SUM(B893:E893)</f>
        <v>0</v>
      </c>
    </row>
    <row r="894" spans="1:34">
      <c r="B894" s="46"/>
      <c r="C894" s="46"/>
      <c r="D894" s="46"/>
      <c r="E894" s="46"/>
      <c r="F894" s="102"/>
      <c r="G894" s="102"/>
      <c r="H894" s="102">
        <f>SUM(B894:E894)</f>
        <v>0</v>
      </c>
    </row>
    <row r="895" spans="1:34">
      <c r="B895" s="46"/>
      <c r="C895" s="46"/>
      <c r="D895" s="46"/>
      <c r="E895" s="46"/>
      <c r="F895" s="102"/>
      <c r="G895" s="102"/>
      <c r="H895" s="102">
        <f>SUM(B895:E895)</f>
        <v>0</v>
      </c>
    </row>
    <row r="896" spans="1:34">
      <c r="B896" s="46"/>
      <c r="C896" s="46"/>
      <c r="D896" s="46"/>
      <c r="E896" s="46"/>
      <c r="F896" s="103"/>
      <c r="G896" s="103"/>
      <c r="H896" s="103"/>
    </row>
    <row r="897" spans="2:8">
      <c r="B897" s="46"/>
      <c r="C897" s="46"/>
      <c r="D897" s="46"/>
      <c r="E897" s="46"/>
      <c r="F897" s="103"/>
      <c r="G897" s="103"/>
      <c r="H897" s="103"/>
    </row>
    <row r="898" spans="2:8">
      <c r="B898" s="46"/>
      <c r="C898" s="46"/>
      <c r="D898" s="46"/>
      <c r="E898" s="46"/>
      <c r="F898" s="102"/>
      <c r="G898" s="102"/>
      <c r="H898" s="102">
        <f>SUM(B898:E898)</f>
        <v>0</v>
      </c>
    </row>
    <row r="899" spans="2:8">
      <c r="B899" s="46"/>
      <c r="C899" s="46"/>
      <c r="D899" s="46"/>
      <c r="E899" s="46"/>
      <c r="F899" s="102"/>
      <c r="G899" s="102"/>
      <c r="H899" s="102">
        <f>SUM(B899:E899)</f>
        <v>0</v>
      </c>
    </row>
    <row r="900" spans="2:8">
      <c r="B900" s="46"/>
      <c r="C900" s="46"/>
      <c r="D900" s="46"/>
      <c r="E900" s="46"/>
      <c r="F900" s="102"/>
      <c r="G900" s="102"/>
      <c r="H900" s="102">
        <f>SUM(B900:E900)</f>
        <v>0</v>
      </c>
    </row>
    <row r="901" spans="2:8">
      <c r="B901" s="46"/>
      <c r="C901" s="46"/>
      <c r="D901" s="46"/>
      <c r="E901" s="46"/>
      <c r="F901" s="103"/>
      <c r="G901" s="103"/>
      <c r="H901" s="103"/>
    </row>
    <row r="902" spans="2:8">
      <c r="B902" s="46"/>
      <c r="C902" s="46"/>
      <c r="D902" s="46"/>
      <c r="E902" s="46"/>
      <c r="F902" s="103"/>
      <c r="G902" s="103"/>
      <c r="H902" s="103"/>
    </row>
    <row r="903" spans="2:8">
      <c r="B903" s="46"/>
      <c r="C903" s="46"/>
      <c r="D903" s="46"/>
      <c r="E903" s="46"/>
      <c r="F903" s="103"/>
      <c r="G903" s="103"/>
      <c r="H903" s="103"/>
    </row>
    <row r="904" spans="2:8">
      <c r="B904" s="46"/>
      <c r="C904" s="46"/>
      <c r="D904" s="46"/>
      <c r="E904" s="46"/>
      <c r="F904" s="102"/>
      <c r="G904" s="102"/>
      <c r="H904" s="102">
        <f>SUM(B904:E904)</f>
        <v>0</v>
      </c>
    </row>
    <row r="905" spans="2:8">
      <c r="B905" s="46"/>
      <c r="C905" s="46"/>
      <c r="D905" s="46"/>
      <c r="E905" s="46"/>
      <c r="F905" s="102"/>
      <c r="G905" s="102"/>
      <c r="H905" s="102">
        <f>SUM(B905:E905)</f>
        <v>0</v>
      </c>
    </row>
    <row r="906" spans="2:8">
      <c r="B906" s="46"/>
      <c r="C906" s="46"/>
      <c r="D906" s="46"/>
      <c r="E906" s="46"/>
      <c r="F906" s="103"/>
      <c r="G906" s="103"/>
      <c r="H906" s="103"/>
    </row>
    <row r="907" spans="2:8">
      <c r="B907" s="46"/>
      <c r="C907" s="46"/>
      <c r="D907" s="46"/>
      <c r="E907" s="46"/>
      <c r="F907" s="103"/>
      <c r="G907" s="103"/>
      <c r="H907" s="103"/>
    </row>
    <row r="908" spans="2:8">
      <c r="B908" s="46"/>
      <c r="C908" s="46"/>
      <c r="D908" s="46"/>
      <c r="E908" s="46"/>
      <c r="F908" s="103"/>
      <c r="G908" s="103"/>
      <c r="H908" s="103"/>
    </row>
    <row r="909" spans="2:8">
      <c r="B909" s="46"/>
      <c r="C909" s="46"/>
      <c r="D909" s="46"/>
      <c r="E909" s="46"/>
      <c r="F909" s="102"/>
      <c r="G909" s="102"/>
      <c r="H909" s="102">
        <f>SUM(B909:E909)</f>
        <v>0</v>
      </c>
    </row>
    <row r="910" spans="2:8">
      <c r="B910" s="46"/>
      <c r="C910" s="46"/>
      <c r="D910" s="46"/>
      <c r="E910" s="46"/>
      <c r="F910" s="102"/>
      <c r="G910" s="102"/>
      <c r="H910" s="102">
        <f>SUM(B910:E910)</f>
        <v>0</v>
      </c>
    </row>
    <row r="911" spans="2:8">
      <c r="B911" s="46"/>
      <c r="C911" s="46"/>
      <c r="D911" s="46"/>
      <c r="E911" s="46"/>
      <c r="F911" s="103"/>
      <c r="G911" s="103"/>
      <c r="H911" s="103"/>
    </row>
    <row r="912" spans="2:8">
      <c r="B912" s="46"/>
      <c r="C912" s="46"/>
      <c r="D912" s="46"/>
      <c r="E912" s="46"/>
      <c r="F912" s="103"/>
      <c r="G912" s="103"/>
      <c r="H912" s="103"/>
    </row>
    <row r="913" spans="2:8">
      <c r="B913" s="46"/>
      <c r="C913" s="46"/>
      <c r="D913" s="46"/>
      <c r="E913" s="46"/>
      <c r="F913" s="102"/>
      <c r="G913" s="102"/>
      <c r="H913" s="102">
        <f>SUM(B913:E913)</f>
        <v>0</v>
      </c>
    </row>
    <row r="914" spans="2:8">
      <c r="B914" s="46"/>
      <c r="C914" s="46"/>
      <c r="D914" s="46"/>
      <c r="E914" s="46"/>
      <c r="F914" s="102"/>
      <c r="G914" s="102"/>
      <c r="H914" s="102">
        <f>SUM(B914:E914)</f>
        <v>0</v>
      </c>
    </row>
    <row r="915" spans="2:8">
      <c r="B915" s="46"/>
      <c r="C915" s="46"/>
      <c r="D915" s="46"/>
      <c r="E915" s="46"/>
      <c r="F915" s="103"/>
      <c r="G915" s="103"/>
      <c r="H915" s="103"/>
    </row>
    <row r="916" spans="2:8">
      <c r="B916" s="46"/>
      <c r="C916" s="46"/>
      <c r="D916" s="46"/>
      <c r="E916" s="46"/>
      <c r="F916" s="103"/>
      <c r="G916" s="103"/>
      <c r="H916" s="103"/>
    </row>
    <row r="917" spans="2:8">
      <c r="B917" s="46"/>
      <c r="C917" s="46"/>
      <c r="D917" s="46"/>
      <c r="E917" s="46"/>
      <c r="F917" s="102"/>
      <c r="G917" s="102"/>
      <c r="H917" s="102">
        <f>SUM(B917:E917)</f>
        <v>0</v>
      </c>
    </row>
    <row r="918" spans="2:8">
      <c r="B918" s="46"/>
      <c r="C918" s="46"/>
      <c r="D918" s="46"/>
      <c r="E918" s="46"/>
      <c r="F918" s="103"/>
      <c r="G918" s="103"/>
      <c r="H918" s="103"/>
    </row>
    <row r="919" spans="2:8">
      <c r="B919" s="46"/>
      <c r="C919" s="46"/>
      <c r="D919" s="46"/>
      <c r="E919" s="46"/>
      <c r="F919" s="103"/>
      <c r="G919" s="103"/>
      <c r="H919" s="103"/>
    </row>
    <row r="920" spans="2:8">
      <c r="B920" s="46"/>
      <c r="C920" s="46"/>
      <c r="D920" s="46"/>
      <c r="E920" s="46"/>
      <c r="F920" s="103"/>
      <c r="G920" s="103"/>
      <c r="H920" s="103" t="s">
        <v>544</v>
      </c>
    </row>
    <row r="921" spans="2:8">
      <c r="B921" s="46"/>
      <c r="C921" s="46"/>
      <c r="D921" s="46"/>
      <c r="E921" s="46"/>
      <c r="F921" s="102"/>
      <c r="G921" s="102"/>
      <c r="H921" s="102">
        <f>SUM(B921:E921)</f>
        <v>0</v>
      </c>
    </row>
    <row r="922" spans="2:8">
      <c r="B922" s="46"/>
      <c r="C922" s="46"/>
      <c r="D922" s="46"/>
      <c r="E922" s="46"/>
      <c r="F922" s="102"/>
      <c r="G922" s="102"/>
      <c r="H922" s="102">
        <f>SUM(B922:E922)</f>
        <v>0</v>
      </c>
    </row>
    <row r="923" spans="2:8">
      <c r="B923" s="46"/>
      <c r="C923" s="46"/>
      <c r="D923" s="46"/>
      <c r="E923" s="46"/>
      <c r="F923" s="102"/>
      <c r="G923" s="102"/>
      <c r="H923" s="102">
        <f>SUM(B923:E923)</f>
        <v>0</v>
      </c>
    </row>
    <row r="924" spans="2:8">
      <c r="B924" s="46"/>
      <c r="C924" s="46"/>
      <c r="D924" s="46"/>
      <c r="E924" s="46"/>
      <c r="F924" s="103"/>
      <c r="G924" s="103"/>
      <c r="H924" s="103"/>
    </row>
    <row r="925" spans="2:8">
      <c r="B925" s="46"/>
      <c r="C925" s="46"/>
      <c r="D925" s="46"/>
      <c r="E925" s="46"/>
      <c r="F925" s="103"/>
      <c r="G925" s="103"/>
      <c r="H925" s="103"/>
    </row>
    <row r="926" spans="2:8">
      <c r="B926" s="46"/>
      <c r="C926" s="46"/>
      <c r="D926" s="46"/>
      <c r="E926" s="46"/>
      <c r="F926" s="103"/>
      <c r="G926" s="103"/>
      <c r="H926" s="103">
        <f>SUM(B926:E926)</f>
        <v>0</v>
      </c>
    </row>
    <row r="927" spans="2:8">
      <c r="B927" s="46"/>
      <c r="C927" s="46"/>
      <c r="D927" s="46"/>
      <c r="E927" s="46"/>
      <c r="F927" s="103"/>
      <c r="G927" s="103"/>
      <c r="H927" s="103"/>
    </row>
    <row r="928" spans="2:8">
      <c r="B928" s="46"/>
      <c r="C928" s="46"/>
      <c r="D928" s="46"/>
      <c r="E928" s="46"/>
      <c r="F928" s="103"/>
      <c r="G928" s="103"/>
      <c r="H928" s="103"/>
    </row>
    <row r="929" spans="1:22" ht="13.5" thickBot="1">
      <c r="B929" s="46"/>
      <c r="C929" s="46"/>
      <c r="D929" s="46"/>
      <c r="E929" s="46"/>
      <c r="F929" s="27"/>
      <c r="G929" s="27"/>
      <c r="H929" s="27">
        <f>SUM(H893:H926)</f>
        <v>0</v>
      </c>
    </row>
    <row r="930" spans="1:22" ht="13.5" thickTop="1">
      <c r="B930" s="46"/>
      <c r="C930" s="46"/>
      <c r="D930" s="46"/>
      <c r="E930" s="46"/>
    </row>
    <row r="931" spans="1:22">
      <c r="B931" s="46"/>
      <c r="C931" s="46"/>
      <c r="D931" s="46"/>
      <c r="E931" s="46"/>
    </row>
    <row r="932" spans="1:22">
      <c r="B932" s="46"/>
      <c r="C932" s="46"/>
      <c r="D932" s="46"/>
      <c r="E932" s="46"/>
    </row>
    <row r="936" spans="1:22">
      <c r="A936" s="104" t="s">
        <v>774</v>
      </c>
      <c r="B936" s="16" t="s">
        <v>665</v>
      </c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</row>
    <row r="937" spans="1:2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</row>
    <row r="938" spans="1:22">
      <c r="A938" s="12"/>
      <c r="B938" s="183" t="s">
        <v>471</v>
      </c>
      <c r="C938" s="183" t="s">
        <v>41</v>
      </c>
      <c r="D938" s="183" t="s">
        <v>456</v>
      </c>
      <c r="E938" s="183" t="s">
        <v>42</v>
      </c>
      <c r="F938" s="183" t="s">
        <v>312</v>
      </c>
      <c r="G938" s="183" t="s">
        <v>738</v>
      </c>
      <c r="H938" s="183"/>
      <c r="I938" s="183"/>
      <c r="J938" s="183" t="s">
        <v>695</v>
      </c>
      <c r="K938" s="74" t="s">
        <v>694</v>
      </c>
      <c r="L938" s="74" t="s">
        <v>698</v>
      </c>
      <c r="M938" s="74" t="s">
        <v>456</v>
      </c>
      <c r="N938" s="74" t="s">
        <v>717</v>
      </c>
      <c r="O938" s="74" t="s">
        <v>456</v>
      </c>
      <c r="P938" s="74" t="s">
        <v>456</v>
      </c>
      <c r="Q938" s="74" t="s">
        <v>652</v>
      </c>
      <c r="R938" s="74" t="s">
        <v>3</v>
      </c>
      <c r="S938" s="74"/>
      <c r="T938" s="184"/>
      <c r="U938" s="184"/>
      <c r="V938" s="74"/>
    </row>
    <row r="939" spans="1:22">
      <c r="A939" s="12"/>
      <c r="B939" s="183" t="s">
        <v>120</v>
      </c>
      <c r="C939" s="183" t="s">
        <v>440</v>
      </c>
      <c r="D939" s="183" t="s">
        <v>706</v>
      </c>
      <c r="E939" s="183" t="s">
        <v>43</v>
      </c>
      <c r="F939" s="183" t="s">
        <v>732</v>
      </c>
      <c r="G939" s="183" t="s">
        <v>44</v>
      </c>
      <c r="H939" s="74"/>
      <c r="I939" s="74"/>
      <c r="J939" s="74" t="s">
        <v>108</v>
      </c>
      <c r="K939" s="74" t="s">
        <v>440</v>
      </c>
      <c r="L939" s="74"/>
      <c r="M939" s="74" t="s">
        <v>705</v>
      </c>
      <c r="N939" s="74" t="s">
        <v>718</v>
      </c>
      <c r="O939" s="74" t="s">
        <v>706</v>
      </c>
      <c r="P939" s="74" t="s">
        <v>704</v>
      </c>
      <c r="Q939" s="74" t="s">
        <v>281</v>
      </c>
      <c r="R939" s="74" t="s">
        <v>92</v>
      </c>
      <c r="S939" s="74"/>
      <c r="T939" s="184"/>
      <c r="U939" s="184"/>
      <c r="V939" s="74"/>
    </row>
    <row r="940" spans="1:22">
      <c r="A940" s="12"/>
      <c r="B940" s="12"/>
      <c r="C940" s="12"/>
      <c r="D940" s="12"/>
      <c r="E940" s="13" t="s">
        <v>440</v>
      </c>
      <c r="F940" s="13"/>
      <c r="G940" s="13"/>
      <c r="H940" s="12"/>
      <c r="I940" s="12"/>
      <c r="J940" s="12"/>
      <c r="K940" s="75"/>
      <c r="L940" s="75"/>
      <c r="M940" s="75"/>
      <c r="N940" s="75"/>
      <c r="O940" s="75"/>
      <c r="P940" s="75"/>
      <c r="Q940" s="75"/>
      <c r="R940" s="75"/>
      <c r="S940" s="75"/>
      <c r="T940" s="12"/>
      <c r="U940" s="12"/>
      <c r="V940" s="12"/>
    </row>
    <row r="941" spans="1:2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 t="s">
        <v>544</v>
      </c>
      <c r="L941" s="13"/>
      <c r="M941" s="13"/>
      <c r="N941" s="13"/>
      <c r="O941" s="13"/>
      <c r="P941" s="13"/>
      <c r="Q941" s="13"/>
      <c r="R941" s="12"/>
      <c r="S941" s="12"/>
      <c r="T941" s="12"/>
      <c r="U941" s="12"/>
      <c r="V941" s="12"/>
    </row>
    <row r="942" spans="1:22">
      <c r="A942" s="13" t="s">
        <v>45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</row>
    <row r="943" spans="1:2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</row>
    <row r="944" spans="1:2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</row>
    <row r="945" spans="1:22">
      <c r="A945" s="16" t="s">
        <v>46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</row>
    <row r="946" spans="1:22">
      <c r="A946" s="12" t="s">
        <v>562</v>
      </c>
      <c r="B946" s="12">
        <f>2782933+378277156.53</f>
        <v>381060089.52999997</v>
      </c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>
        <f>SUM(B946:Q946)</f>
        <v>381060089.52999997</v>
      </c>
      <c r="S946" s="12"/>
      <c r="T946" s="12"/>
      <c r="U946" s="12"/>
      <c r="V946" s="12"/>
    </row>
    <row r="947" spans="1:22">
      <c r="A947" s="12" t="s">
        <v>1</v>
      </c>
      <c r="B947" s="12">
        <v>3090327</v>
      </c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>
        <f t="shared" ref="R947:R1010" si="48">SUM(B947:Q947)</f>
        <v>3090327</v>
      </c>
      <c r="S947" s="12"/>
      <c r="T947" s="12"/>
      <c r="U947" s="12"/>
      <c r="V947" s="12"/>
    </row>
    <row r="948" spans="1:22">
      <c r="A948" s="12" t="s">
        <v>598</v>
      </c>
      <c r="B948" s="12">
        <v>4359598</v>
      </c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>
        <f t="shared" si="48"/>
        <v>4359598</v>
      </c>
      <c r="S948" s="12"/>
      <c r="T948" s="12"/>
      <c r="U948" s="12"/>
      <c r="V948" s="12"/>
    </row>
    <row r="949" spans="1:22">
      <c r="A949" s="12" t="s">
        <v>47</v>
      </c>
      <c r="B949" s="12"/>
      <c r="C949" s="12">
        <v>0</v>
      </c>
      <c r="D949" s="12"/>
      <c r="E949" s="12">
        <v>0</v>
      </c>
      <c r="F949" s="12"/>
      <c r="G949" s="12"/>
      <c r="H949" s="12">
        <v>0</v>
      </c>
      <c r="I949" s="12">
        <v>0</v>
      </c>
      <c r="J949" s="12"/>
      <c r="K949" s="12">
        <v>0</v>
      </c>
      <c r="L949" s="12"/>
      <c r="M949" s="12"/>
      <c r="N949" s="12"/>
      <c r="O949" s="12"/>
      <c r="P949" s="12"/>
      <c r="Q949" s="12"/>
      <c r="R949" s="12">
        <f t="shared" si="48"/>
        <v>0</v>
      </c>
      <c r="S949" s="12">
        <v>0</v>
      </c>
      <c r="T949" s="12">
        <v>0</v>
      </c>
      <c r="U949" s="12">
        <v>0</v>
      </c>
      <c r="V949" s="12"/>
    </row>
    <row r="950" spans="1:22">
      <c r="A950" s="12" t="s">
        <v>502</v>
      </c>
      <c r="B950" s="12"/>
      <c r="C950" s="12">
        <v>0</v>
      </c>
      <c r="D950" s="12"/>
      <c r="E950" s="12">
        <v>0</v>
      </c>
      <c r="F950" s="12"/>
      <c r="G950" s="12"/>
      <c r="H950" s="12">
        <v>0</v>
      </c>
      <c r="I950" s="12">
        <v>0</v>
      </c>
      <c r="J950" s="12"/>
      <c r="K950" s="12">
        <v>0</v>
      </c>
      <c r="L950" s="12"/>
      <c r="M950" s="12"/>
      <c r="N950" s="12"/>
      <c r="O950" s="12"/>
      <c r="P950" s="12"/>
      <c r="Q950" s="12"/>
      <c r="R950" s="12">
        <f t="shared" si="48"/>
        <v>0</v>
      </c>
      <c r="S950" s="12">
        <v>0</v>
      </c>
      <c r="T950" s="12">
        <v>0</v>
      </c>
      <c r="U950" s="12">
        <v>0</v>
      </c>
      <c r="V950" s="12"/>
    </row>
    <row r="951" spans="1:22">
      <c r="A951" s="12" t="s">
        <v>295</v>
      </c>
      <c r="B951" s="12">
        <v>206</v>
      </c>
      <c r="C951" s="12">
        <v>0</v>
      </c>
      <c r="D951" s="12"/>
      <c r="E951" s="12">
        <v>0</v>
      </c>
      <c r="F951" s="12"/>
      <c r="G951" s="12"/>
      <c r="H951" s="12">
        <v>0</v>
      </c>
      <c r="I951" s="12">
        <v>0</v>
      </c>
      <c r="J951" s="12"/>
      <c r="K951" s="12">
        <v>0</v>
      </c>
      <c r="L951" s="12"/>
      <c r="M951" s="12"/>
      <c r="N951" s="12"/>
      <c r="O951" s="12"/>
      <c r="P951" s="12"/>
      <c r="Q951" s="12"/>
      <c r="R951" s="12">
        <f t="shared" si="48"/>
        <v>206</v>
      </c>
      <c r="S951" s="12">
        <v>0</v>
      </c>
      <c r="T951" s="12">
        <v>0</v>
      </c>
      <c r="U951" s="12">
        <v>0</v>
      </c>
      <c r="V951" s="12"/>
    </row>
    <row r="952" spans="1:22">
      <c r="A952" s="12" t="s">
        <v>503</v>
      </c>
      <c r="B952" s="12">
        <v>169978758</v>
      </c>
      <c r="C952" s="12">
        <v>-187004846</v>
      </c>
      <c r="D952" s="12"/>
      <c r="E952" s="12">
        <v>7374400</v>
      </c>
      <c r="F952" s="12"/>
      <c r="G952" s="12"/>
      <c r="H952" s="12"/>
      <c r="I952" s="12"/>
      <c r="J952" s="12"/>
      <c r="K952" s="12">
        <v>35898528</v>
      </c>
      <c r="L952" s="12"/>
      <c r="M952" s="12"/>
      <c r="N952" s="12"/>
      <c r="O952" s="12"/>
      <c r="P952" s="12"/>
      <c r="Q952" s="12"/>
      <c r="R952" s="12">
        <f t="shared" si="48"/>
        <v>26246840</v>
      </c>
      <c r="S952" s="12">
        <v>0</v>
      </c>
      <c r="T952" s="12"/>
      <c r="U952" s="12"/>
      <c r="V952" s="12"/>
    </row>
    <row r="953" spans="1:22">
      <c r="A953" s="12" t="s">
        <v>134</v>
      </c>
      <c r="B953" s="12">
        <f>3738000+20000+2203000</f>
        <v>5961000</v>
      </c>
      <c r="C953" s="12">
        <v>0</v>
      </c>
      <c r="D953" s="12"/>
      <c r="E953" s="12">
        <v>0</v>
      </c>
      <c r="F953" s="12"/>
      <c r="G953" s="12"/>
      <c r="H953" s="12">
        <v>0</v>
      </c>
      <c r="I953" s="12">
        <v>0</v>
      </c>
      <c r="J953" s="12"/>
      <c r="K953" s="12">
        <v>0</v>
      </c>
      <c r="L953" s="12"/>
      <c r="M953" s="12"/>
      <c r="N953" s="12"/>
      <c r="O953" s="12"/>
      <c r="P953" s="12"/>
      <c r="Q953" s="12"/>
      <c r="R953" s="12">
        <f t="shared" si="48"/>
        <v>5961000</v>
      </c>
      <c r="S953" s="12">
        <v>0</v>
      </c>
      <c r="T953" s="12">
        <v>0</v>
      </c>
      <c r="U953" s="12">
        <v>0</v>
      </c>
      <c r="V953" s="12"/>
    </row>
    <row r="954" spans="1:22">
      <c r="A954" s="12" t="s">
        <v>700</v>
      </c>
      <c r="B954" s="12">
        <v>1340</v>
      </c>
      <c r="C954" s="12"/>
      <c r="D954" s="12"/>
      <c r="E954" s="12"/>
      <c r="F954" s="12"/>
      <c r="G954" s="12"/>
      <c r="H954" s="12"/>
      <c r="I954" s="12"/>
      <c r="J954" s="12"/>
      <c r="K954" s="12"/>
      <c r="L954" s="12">
        <v>-1340</v>
      </c>
      <c r="M954" s="12"/>
      <c r="N954" s="12"/>
      <c r="O954" s="12"/>
      <c r="P954" s="12"/>
      <c r="Q954" s="12"/>
      <c r="R954" s="12">
        <f t="shared" si="48"/>
        <v>0</v>
      </c>
      <c r="S954" s="12"/>
      <c r="T954" s="12"/>
      <c r="U954" s="12"/>
      <c r="V954" s="12"/>
    </row>
    <row r="955" spans="1:22">
      <c r="A955" s="12" t="s">
        <v>504</v>
      </c>
      <c r="B955" s="12"/>
      <c r="C955" s="12">
        <v>0</v>
      </c>
      <c r="D955" s="12"/>
      <c r="E955" s="12">
        <v>0</v>
      </c>
      <c r="F955" s="12"/>
      <c r="G955" s="12"/>
      <c r="H955" s="12">
        <v>0</v>
      </c>
      <c r="I955" s="12">
        <v>0</v>
      </c>
      <c r="J955" s="12"/>
      <c r="K955" s="12">
        <v>0</v>
      </c>
      <c r="L955" s="12"/>
      <c r="M955" s="12"/>
      <c r="N955" s="12"/>
      <c r="O955" s="12"/>
      <c r="P955" s="12"/>
      <c r="Q955" s="12"/>
      <c r="R955" s="12">
        <f t="shared" si="48"/>
        <v>0</v>
      </c>
      <c r="S955" s="12">
        <v>0</v>
      </c>
      <c r="T955" s="12">
        <v>0</v>
      </c>
      <c r="U955" s="12">
        <v>0</v>
      </c>
      <c r="V955" s="12"/>
    </row>
    <row r="956" spans="1:22">
      <c r="A956" s="12" t="s">
        <v>505</v>
      </c>
      <c r="B956" s="12"/>
      <c r="C956" s="12">
        <v>0</v>
      </c>
      <c r="D956" s="12"/>
      <c r="E956" s="12">
        <v>0</v>
      </c>
      <c r="F956" s="12"/>
      <c r="G956" s="12"/>
      <c r="H956" s="12">
        <v>0</v>
      </c>
      <c r="I956" s="12">
        <v>0</v>
      </c>
      <c r="J956" s="12"/>
      <c r="K956" s="12">
        <v>0</v>
      </c>
      <c r="L956" s="12"/>
      <c r="M956" s="12"/>
      <c r="N956" s="12"/>
      <c r="O956" s="12"/>
      <c r="P956" s="12"/>
      <c r="Q956" s="12"/>
      <c r="R956" s="12">
        <f t="shared" si="48"/>
        <v>0</v>
      </c>
      <c r="S956" s="12">
        <v>0</v>
      </c>
      <c r="T956" s="12">
        <v>0</v>
      </c>
      <c r="U956" s="12">
        <v>0</v>
      </c>
      <c r="V956" s="12"/>
    </row>
    <row r="957" spans="1:22">
      <c r="A957" s="12" t="s">
        <v>506</v>
      </c>
      <c r="B957" s="12"/>
      <c r="C957" s="12">
        <v>0</v>
      </c>
      <c r="D957" s="12"/>
      <c r="E957" s="12">
        <v>0</v>
      </c>
      <c r="F957" s="12"/>
      <c r="G957" s="12"/>
      <c r="H957" s="12">
        <v>0</v>
      </c>
      <c r="I957" s="12">
        <v>0</v>
      </c>
      <c r="J957" s="12"/>
      <c r="K957" s="12">
        <v>0</v>
      </c>
      <c r="L957" s="12"/>
      <c r="M957" s="12"/>
      <c r="N957" s="12"/>
      <c r="O957" s="12"/>
      <c r="P957" s="12"/>
      <c r="Q957" s="12"/>
      <c r="R957" s="12">
        <f t="shared" si="48"/>
        <v>0</v>
      </c>
      <c r="S957" s="12">
        <v>0</v>
      </c>
      <c r="T957" s="12">
        <v>0</v>
      </c>
      <c r="U957" s="12">
        <v>0</v>
      </c>
      <c r="V957" s="12"/>
    </row>
    <row r="958" spans="1:22">
      <c r="A958" s="12" t="s">
        <v>507</v>
      </c>
      <c r="B958" s="12"/>
      <c r="C958" s="12">
        <v>0</v>
      </c>
      <c r="D958" s="12"/>
      <c r="E958" s="12">
        <v>0</v>
      </c>
      <c r="F958" s="12"/>
      <c r="G958" s="12"/>
      <c r="H958" s="12">
        <v>0</v>
      </c>
      <c r="I958" s="12">
        <v>0</v>
      </c>
      <c r="J958" s="12"/>
      <c r="K958" s="12">
        <v>0</v>
      </c>
      <c r="L958" s="12"/>
      <c r="M958" s="12"/>
      <c r="N958" s="12"/>
      <c r="O958" s="12"/>
      <c r="P958" s="12"/>
      <c r="Q958" s="12"/>
      <c r="R958" s="12">
        <f t="shared" si="48"/>
        <v>0</v>
      </c>
      <c r="S958" s="12">
        <v>0</v>
      </c>
      <c r="T958" s="12">
        <v>0</v>
      </c>
      <c r="U958" s="12">
        <v>0</v>
      </c>
      <c r="V958" s="12"/>
    </row>
    <row r="959" spans="1:22">
      <c r="A959" s="12" t="s">
        <v>606</v>
      </c>
      <c r="B959" s="12"/>
      <c r="C959" s="12">
        <v>0</v>
      </c>
      <c r="D959" s="12"/>
      <c r="E959" s="12">
        <v>0</v>
      </c>
      <c r="F959" s="12"/>
      <c r="G959" s="12"/>
      <c r="H959" s="12">
        <v>0</v>
      </c>
      <c r="I959" s="12">
        <v>0</v>
      </c>
      <c r="J959" s="12"/>
      <c r="K959" s="12">
        <v>0</v>
      </c>
      <c r="L959" s="12"/>
      <c r="M959" s="12"/>
      <c r="N959" s="12"/>
      <c r="O959" s="12"/>
      <c r="P959" s="12"/>
      <c r="Q959" s="12"/>
      <c r="R959" s="12">
        <f t="shared" si="48"/>
        <v>0</v>
      </c>
      <c r="S959" s="12">
        <v>0</v>
      </c>
      <c r="T959" s="12">
        <v>0</v>
      </c>
      <c r="U959" s="12">
        <v>0</v>
      </c>
      <c r="V959" s="12"/>
    </row>
    <row r="960" spans="1:22">
      <c r="A960" s="12" t="s">
        <v>508</v>
      </c>
      <c r="B960" s="12"/>
      <c r="C960" s="12">
        <v>0</v>
      </c>
      <c r="D960" s="12"/>
      <c r="E960" s="12">
        <v>0</v>
      </c>
      <c r="F960" s="12"/>
      <c r="G960" s="12"/>
      <c r="H960" s="12">
        <v>0</v>
      </c>
      <c r="I960" s="12">
        <v>0</v>
      </c>
      <c r="J960" s="12"/>
      <c r="K960" s="12">
        <v>0</v>
      </c>
      <c r="L960" s="12"/>
      <c r="M960" s="12"/>
      <c r="N960" s="12"/>
      <c r="O960" s="12"/>
      <c r="P960" s="12"/>
      <c r="Q960" s="12"/>
      <c r="R960" s="12">
        <f t="shared" si="48"/>
        <v>0</v>
      </c>
      <c r="S960" s="12">
        <v>0</v>
      </c>
      <c r="T960" s="12">
        <v>0</v>
      </c>
      <c r="U960" s="12">
        <v>0</v>
      </c>
      <c r="V960" s="12"/>
    </row>
    <row r="961" spans="1:22">
      <c r="A961" s="12" t="s">
        <v>737</v>
      </c>
      <c r="B961" s="12">
        <v>300000</v>
      </c>
      <c r="C961" s="12">
        <v>0</v>
      </c>
      <c r="D961" s="12"/>
      <c r="E961" s="12">
        <v>0</v>
      </c>
      <c r="F961" s="12"/>
      <c r="G961" s="12"/>
      <c r="H961" s="12">
        <v>0</v>
      </c>
      <c r="I961" s="12">
        <v>0</v>
      </c>
      <c r="J961" s="12"/>
      <c r="K961" s="12">
        <v>0</v>
      </c>
      <c r="L961" s="12"/>
      <c r="M961" s="12"/>
      <c r="N961" s="12"/>
      <c r="O961" s="12"/>
      <c r="P961" s="12"/>
      <c r="Q961" s="12"/>
      <c r="R961" s="12">
        <f t="shared" si="48"/>
        <v>300000</v>
      </c>
      <c r="S961" s="12">
        <v>0</v>
      </c>
      <c r="T961" s="12">
        <v>0</v>
      </c>
      <c r="U961" s="12">
        <v>0</v>
      </c>
      <c r="V961" s="12"/>
    </row>
    <row r="962" spans="1:22">
      <c r="A962" s="12" t="s">
        <v>509</v>
      </c>
      <c r="B962" s="12"/>
      <c r="C962" s="12">
        <v>0</v>
      </c>
      <c r="D962" s="12"/>
      <c r="E962" s="12">
        <v>0</v>
      </c>
      <c r="F962" s="12"/>
      <c r="G962" s="12"/>
      <c r="H962" s="12">
        <v>0</v>
      </c>
      <c r="I962" s="12">
        <v>0</v>
      </c>
      <c r="J962" s="12"/>
      <c r="K962" s="12">
        <v>0</v>
      </c>
      <c r="L962" s="12"/>
      <c r="M962" s="12"/>
      <c r="N962" s="12"/>
      <c r="O962" s="12"/>
      <c r="P962" s="12"/>
      <c r="Q962" s="12"/>
      <c r="R962" s="12">
        <f t="shared" si="48"/>
        <v>0</v>
      </c>
      <c r="S962" s="12">
        <v>0</v>
      </c>
      <c r="T962" s="12">
        <v>0</v>
      </c>
      <c r="U962" s="12">
        <v>0</v>
      </c>
      <c r="V962" s="12"/>
    </row>
    <row r="963" spans="1:22">
      <c r="A963" s="12" t="s">
        <v>510</v>
      </c>
      <c r="B963" s="12"/>
      <c r="C963" s="12">
        <v>0</v>
      </c>
      <c r="D963" s="12"/>
      <c r="E963" s="12">
        <v>0</v>
      </c>
      <c r="F963" s="12"/>
      <c r="G963" s="12"/>
      <c r="H963" s="12">
        <v>0</v>
      </c>
      <c r="I963" s="12">
        <v>0</v>
      </c>
      <c r="J963" s="12"/>
      <c r="K963" s="12">
        <v>0</v>
      </c>
      <c r="L963" s="12"/>
      <c r="M963" s="12"/>
      <c r="N963" s="12"/>
      <c r="O963" s="12"/>
      <c r="P963" s="12"/>
      <c r="Q963" s="12"/>
      <c r="R963" s="12">
        <f t="shared" si="48"/>
        <v>0</v>
      </c>
      <c r="S963" s="12">
        <v>0</v>
      </c>
      <c r="T963" s="12">
        <v>0</v>
      </c>
      <c r="U963" s="12">
        <v>0</v>
      </c>
      <c r="V963" s="12"/>
    </row>
    <row r="964" spans="1:22">
      <c r="A964" s="12" t="s">
        <v>511</v>
      </c>
      <c r="B964" s="12"/>
      <c r="C964" s="12">
        <v>0</v>
      </c>
      <c r="D964" s="12"/>
      <c r="E964" s="12">
        <v>0</v>
      </c>
      <c r="F964" s="12"/>
      <c r="G964" s="12"/>
      <c r="H964" s="12">
        <v>0</v>
      </c>
      <c r="I964" s="12">
        <v>0</v>
      </c>
      <c r="J964" s="12"/>
      <c r="K964" s="12">
        <v>0</v>
      </c>
      <c r="L964" s="12"/>
      <c r="M964" s="12"/>
      <c r="N964" s="12"/>
      <c r="O964" s="12"/>
      <c r="P964" s="12"/>
      <c r="Q964" s="12"/>
      <c r="R964" s="12">
        <f t="shared" si="48"/>
        <v>0</v>
      </c>
      <c r="S964" s="12">
        <v>0</v>
      </c>
      <c r="T964" s="12">
        <v>0</v>
      </c>
      <c r="U964" s="12">
        <v>0</v>
      </c>
      <c r="V964" s="12"/>
    </row>
    <row r="965" spans="1:22">
      <c r="A965" s="12" t="s">
        <v>512</v>
      </c>
      <c r="B965" s="12"/>
      <c r="C965" s="12">
        <v>0</v>
      </c>
      <c r="D965" s="12"/>
      <c r="E965" s="12">
        <v>0</v>
      </c>
      <c r="F965" s="12"/>
      <c r="G965" s="12"/>
      <c r="H965" s="12">
        <v>0</v>
      </c>
      <c r="I965" s="12">
        <v>0</v>
      </c>
      <c r="J965" s="12"/>
      <c r="K965" s="12">
        <v>0</v>
      </c>
      <c r="L965" s="12"/>
      <c r="M965" s="12"/>
      <c r="N965" s="12"/>
      <c r="O965" s="12"/>
      <c r="P965" s="12"/>
      <c r="Q965" s="12"/>
      <c r="R965" s="12">
        <f t="shared" si="48"/>
        <v>0</v>
      </c>
      <c r="S965" s="12">
        <v>0</v>
      </c>
      <c r="T965" s="12">
        <v>0</v>
      </c>
      <c r="U965" s="12">
        <v>0</v>
      </c>
      <c r="V965" s="12"/>
    </row>
    <row r="966" spans="1:22">
      <c r="A966" s="12" t="s">
        <v>513</v>
      </c>
      <c r="B966" s="12"/>
      <c r="C966" s="12">
        <v>0</v>
      </c>
      <c r="D966" s="12"/>
      <c r="E966" s="12">
        <v>0</v>
      </c>
      <c r="F966" s="12"/>
      <c r="G966" s="12"/>
      <c r="H966" s="12">
        <v>0</v>
      </c>
      <c r="I966" s="12">
        <v>0</v>
      </c>
      <c r="J966" s="12"/>
      <c r="K966" s="12">
        <v>0</v>
      </c>
      <c r="L966" s="12"/>
      <c r="M966" s="12"/>
      <c r="N966" s="12"/>
      <c r="O966" s="12"/>
      <c r="P966" s="12"/>
      <c r="Q966" s="12"/>
      <c r="R966" s="12">
        <f t="shared" si="48"/>
        <v>0</v>
      </c>
      <c r="S966" s="12">
        <v>0</v>
      </c>
      <c r="T966" s="12">
        <v>0</v>
      </c>
      <c r="U966" s="12">
        <v>0</v>
      </c>
      <c r="V966" s="12"/>
    </row>
    <row r="967" spans="1:22">
      <c r="A967" s="12" t="s">
        <v>514</v>
      </c>
      <c r="B967" s="12"/>
      <c r="C967" s="12">
        <v>0</v>
      </c>
      <c r="D967" s="12"/>
      <c r="E967" s="12">
        <v>0</v>
      </c>
      <c r="F967" s="12"/>
      <c r="G967" s="12"/>
      <c r="H967" s="12">
        <v>0</v>
      </c>
      <c r="I967" s="12">
        <v>0</v>
      </c>
      <c r="J967" s="12"/>
      <c r="K967" s="12">
        <v>0</v>
      </c>
      <c r="L967" s="12"/>
      <c r="M967" s="12"/>
      <c r="N967" s="12"/>
      <c r="O967" s="12"/>
      <c r="P967" s="12"/>
      <c r="Q967" s="12"/>
      <c r="R967" s="12">
        <f t="shared" si="48"/>
        <v>0</v>
      </c>
      <c r="S967" s="12">
        <v>0</v>
      </c>
      <c r="T967" s="12">
        <v>0</v>
      </c>
      <c r="U967" s="12">
        <v>0</v>
      </c>
      <c r="V967" s="12"/>
    </row>
    <row r="968" spans="1:22">
      <c r="A968" s="12" t="s">
        <v>515</v>
      </c>
      <c r="B968" s="12"/>
      <c r="C968" s="12">
        <v>0</v>
      </c>
      <c r="D968" s="12"/>
      <c r="E968" s="12">
        <v>0</v>
      </c>
      <c r="F968" s="12"/>
      <c r="G968" s="12"/>
      <c r="H968" s="12">
        <v>0</v>
      </c>
      <c r="I968" s="12">
        <v>0</v>
      </c>
      <c r="J968" s="12"/>
      <c r="K968" s="12">
        <v>0</v>
      </c>
      <c r="L968" s="12"/>
      <c r="M968" s="12"/>
      <c r="N968" s="12"/>
      <c r="O968" s="12"/>
      <c r="P968" s="12"/>
      <c r="Q968" s="12"/>
      <c r="R968" s="12">
        <f t="shared" si="48"/>
        <v>0</v>
      </c>
      <c r="S968" s="12">
        <v>0</v>
      </c>
      <c r="T968" s="12">
        <v>0</v>
      </c>
      <c r="U968" s="12">
        <v>0</v>
      </c>
      <c r="V968" s="12"/>
    </row>
    <row r="969" spans="1:22">
      <c r="A969" s="12" t="s">
        <v>516</v>
      </c>
      <c r="B969" s="12">
        <f>28860+38281+115314.5+260328</f>
        <v>442783.5</v>
      </c>
      <c r="C969" s="12">
        <v>0</v>
      </c>
      <c r="D969" s="12"/>
      <c r="E969" s="12">
        <v>0</v>
      </c>
      <c r="F969" s="12"/>
      <c r="G969" s="12"/>
      <c r="H969" s="12">
        <v>0</v>
      </c>
      <c r="I969" s="12">
        <v>0</v>
      </c>
      <c r="J969" s="12"/>
      <c r="K969" s="12">
        <v>0</v>
      </c>
      <c r="L969" s="12"/>
      <c r="M969" s="12"/>
      <c r="N969" s="12"/>
      <c r="O969" s="12"/>
      <c r="P969" s="12"/>
      <c r="Q969" s="12"/>
      <c r="R969" s="12">
        <f t="shared" si="48"/>
        <v>442783.5</v>
      </c>
      <c r="S969" s="12">
        <v>0</v>
      </c>
      <c r="T969" s="12">
        <v>0</v>
      </c>
      <c r="U969" s="12">
        <v>0</v>
      </c>
      <c r="V969" s="12"/>
    </row>
    <row r="970" spans="1:22">
      <c r="A970" s="12" t="s">
        <v>517</v>
      </c>
      <c r="B970" s="12"/>
      <c r="C970" s="12">
        <v>0</v>
      </c>
      <c r="D970" s="12"/>
      <c r="E970" s="12">
        <v>0</v>
      </c>
      <c r="F970" s="12"/>
      <c r="G970" s="12"/>
      <c r="H970" s="12">
        <v>0</v>
      </c>
      <c r="I970" s="12">
        <v>0</v>
      </c>
      <c r="J970" s="12"/>
      <c r="K970" s="12">
        <v>0</v>
      </c>
      <c r="L970" s="12"/>
      <c r="M970" s="12"/>
      <c r="N970" s="12"/>
      <c r="O970" s="12"/>
      <c r="P970" s="12"/>
      <c r="Q970" s="12"/>
      <c r="R970" s="12">
        <f t="shared" si="48"/>
        <v>0</v>
      </c>
      <c r="S970" s="12">
        <v>0</v>
      </c>
      <c r="T970" s="12">
        <v>0</v>
      </c>
      <c r="U970" s="12">
        <v>0</v>
      </c>
      <c r="V970" s="12"/>
    </row>
    <row r="971" spans="1:22">
      <c r="A971" s="12" t="s">
        <v>518</v>
      </c>
      <c r="B971" s="12">
        <f>60370.5+583+2056</f>
        <v>63009.5</v>
      </c>
      <c r="C971" s="12">
        <v>0</v>
      </c>
      <c r="D971" s="12"/>
      <c r="E971" s="12">
        <v>0</v>
      </c>
      <c r="F971" s="12"/>
      <c r="G971" s="12"/>
      <c r="H971" s="12">
        <v>0</v>
      </c>
      <c r="I971" s="12">
        <v>0</v>
      </c>
      <c r="J971" s="12"/>
      <c r="K971" s="12">
        <v>0</v>
      </c>
      <c r="L971" s="12">
        <v>-60370.5</v>
      </c>
      <c r="M971" s="12"/>
      <c r="N971" s="12"/>
      <c r="O971" s="12"/>
      <c r="P971" s="12"/>
      <c r="Q971" s="12"/>
      <c r="R971" s="12">
        <f t="shared" si="48"/>
        <v>2639</v>
      </c>
      <c r="S971" s="12">
        <v>0</v>
      </c>
      <c r="T971" s="12">
        <v>0</v>
      </c>
      <c r="U971" s="12">
        <v>0</v>
      </c>
      <c r="V971" s="12"/>
    </row>
    <row r="972" spans="1:22">
      <c r="A972" s="12" t="s">
        <v>519</v>
      </c>
      <c r="B972" s="12"/>
      <c r="C972" s="12">
        <v>0</v>
      </c>
      <c r="D972" s="12"/>
      <c r="E972" s="12">
        <v>0</v>
      </c>
      <c r="F972" s="12"/>
      <c r="G972" s="12"/>
      <c r="H972" s="12">
        <v>0</v>
      </c>
      <c r="I972" s="12">
        <v>0</v>
      </c>
      <c r="J972" s="12"/>
      <c r="K972" s="12">
        <v>0</v>
      </c>
      <c r="L972" s="12"/>
      <c r="M972" s="12"/>
      <c r="N972" s="12"/>
      <c r="O972" s="12"/>
      <c r="P972" s="12"/>
      <c r="Q972" s="12"/>
      <c r="R972" s="12">
        <f t="shared" si="48"/>
        <v>0</v>
      </c>
      <c r="S972" s="12">
        <v>0</v>
      </c>
      <c r="T972" s="12">
        <v>0</v>
      </c>
      <c r="U972" s="12">
        <v>0</v>
      </c>
      <c r="V972" s="12"/>
    </row>
    <row r="973" spans="1:22">
      <c r="A973" s="76" t="s">
        <v>520</v>
      </c>
      <c r="B973" s="12">
        <v>2204946</v>
      </c>
      <c r="C973" s="12">
        <v>0</v>
      </c>
      <c r="D973" s="12"/>
      <c r="E973" s="12">
        <v>70000000</v>
      </c>
      <c r="F973" s="12"/>
      <c r="G973" s="12"/>
      <c r="H973" s="12">
        <v>0</v>
      </c>
      <c r="I973" s="12">
        <v>0</v>
      </c>
      <c r="J973" s="12"/>
      <c r="K973" s="12">
        <v>0</v>
      </c>
      <c r="L973" s="12"/>
      <c r="M973" s="12"/>
      <c r="N973" s="12"/>
      <c r="O973" s="12"/>
      <c r="P973" s="12"/>
      <c r="Q973" s="12"/>
      <c r="R973" s="12">
        <f t="shared" si="48"/>
        <v>72204946</v>
      </c>
      <c r="S973" s="12">
        <v>0</v>
      </c>
      <c r="T973" s="12">
        <v>0</v>
      </c>
      <c r="U973" s="12">
        <v>0</v>
      </c>
      <c r="V973" s="12"/>
    </row>
    <row r="974" spans="1:22">
      <c r="A974" s="12" t="s">
        <v>521</v>
      </c>
      <c r="B974" s="12"/>
      <c r="C974" s="12">
        <v>0</v>
      </c>
      <c r="D974" s="12"/>
      <c r="E974" s="12">
        <v>0</v>
      </c>
      <c r="F974" s="12"/>
      <c r="G974" s="12"/>
      <c r="H974" s="12">
        <v>0</v>
      </c>
      <c r="I974" s="12">
        <v>0</v>
      </c>
      <c r="J974" s="12"/>
      <c r="K974" s="12">
        <v>0</v>
      </c>
      <c r="L974" s="12"/>
      <c r="M974" s="12"/>
      <c r="N974" s="12"/>
      <c r="O974" s="12"/>
      <c r="P974" s="12"/>
      <c r="Q974" s="12"/>
      <c r="R974" s="12">
        <f t="shared" si="48"/>
        <v>0</v>
      </c>
      <c r="S974" s="12">
        <v>0</v>
      </c>
      <c r="T974" s="12">
        <v>0</v>
      </c>
      <c r="U974" s="12">
        <v>0</v>
      </c>
      <c r="V974" s="12"/>
    </row>
    <row r="975" spans="1:22">
      <c r="A975" s="12" t="s">
        <v>522</v>
      </c>
      <c r="B975" s="12"/>
      <c r="C975" s="12">
        <v>0</v>
      </c>
      <c r="D975" s="12"/>
      <c r="E975" s="12">
        <v>0</v>
      </c>
      <c r="F975" s="12"/>
      <c r="G975" s="12"/>
      <c r="H975" s="12">
        <v>0</v>
      </c>
      <c r="I975" s="12">
        <v>0</v>
      </c>
      <c r="J975" s="12"/>
      <c r="K975" s="12">
        <v>0</v>
      </c>
      <c r="L975" s="12"/>
      <c r="M975" s="12"/>
      <c r="N975" s="12"/>
      <c r="O975" s="12"/>
      <c r="P975" s="12"/>
      <c r="Q975" s="12"/>
      <c r="R975" s="12">
        <f t="shared" si="48"/>
        <v>0</v>
      </c>
      <c r="S975" s="12">
        <v>0</v>
      </c>
      <c r="T975" s="12">
        <v>0</v>
      </c>
      <c r="U975" s="12">
        <v>0</v>
      </c>
      <c r="V975" s="12"/>
    </row>
    <row r="976" spans="1:22">
      <c r="A976" s="12" t="s">
        <v>523</v>
      </c>
      <c r="B976" s="12"/>
      <c r="C976" s="12">
        <v>0</v>
      </c>
      <c r="D976" s="12"/>
      <c r="E976" s="12">
        <v>0</v>
      </c>
      <c r="F976" s="12"/>
      <c r="G976" s="12"/>
      <c r="H976" s="12">
        <v>0</v>
      </c>
      <c r="I976" s="12">
        <v>0</v>
      </c>
      <c r="J976" s="12"/>
      <c r="K976" s="12">
        <v>0</v>
      </c>
      <c r="L976" s="12"/>
      <c r="M976" s="12"/>
      <c r="N976" s="12"/>
      <c r="O976" s="12"/>
      <c r="P976" s="12"/>
      <c r="Q976" s="12"/>
      <c r="R976" s="12">
        <f t="shared" si="48"/>
        <v>0</v>
      </c>
      <c r="S976" s="12">
        <v>0</v>
      </c>
      <c r="T976" s="12">
        <v>0</v>
      </c>
      <c r="U976" s="12">
        <v>0</v>
      </c>
      <c r="V976" s="12"/>
    </row>
    <row r="977" spans="1:22">
      <c r="A977" s="12" t="s">
        <v>524</v>
      </c>
      <c r="B977" s="12"/>
      <c r="C977" s="12">
        <v>0</v>
      </c>
      <c r="D977" s="12"/>
      <c r="E977" s="12">
        <v>0</v>
      </c>
      <c r="F977" s="12"/>
      <c r="G977" s="12"/>
      <c r="H977" s="12">
        <v>0</v>
      </c>
      <c r="I977" s="12">
        <v>0</v>
      </c>
      <c r="J977" s="12"/>
      <c r="K977" s="12">
        <v>0</v>
      </c>
      <c r="L977" s="12"/>
      <c r="M977" s="12"/>
      <c r="N977" s="12"/>
      <c r="O977" s="12"/>
      <c r="P977" s="12"/>
      <c r="Q977" s="12"/>
      <c r="R977" s="12">
        <f t="shared" si="48"/>
        <v>0</v>
      </c>
      <c r="S977" s="12">
        <v>0</v>
      </c>
      <c r="T977" s="12">
        <v>0</v>
      </c>
      <c r="U977" s="12">
        <v>0</v>
      </c>
      <c r="V977" s="12"/>
    </row>
    <row r="978" spans="1:22">
      <c r="A978" s="12" t="s">
        <v>525</v>
      </c>
      <c r="B978" s="12">
        <v>9664</v>
      </c>
      <c r="C978" s="12">
        <v>0</v>
      </c>
      <c r="D978" s="12"/>
      <c r="E978" s="12">
        <v>0</v>
      </c>
      <c r="F978" s="12"/>
      <c r="G978" s="12"/>
      <c r="H978" s="12">
        <v>0</v>
      </c>
      <c r="I978" s="12">
        <v>0</v>
      </c>
      <c r="J978" s="12"/>
      <c r="K978" s="12">
        <v>0</v>
      </c>
      <c r="L978" s="12"/>
      <c r="M978" s="12"/>
      <c r="N978" s="12"/>
      <c r="O978" s="12"/>
      <c r="P978" s="12"/>
      <c r="Q978" s="12"/>
      <c r="R978" s="12">
        <f t="shared" si="48"/>
        <v>9664</v>
      </c>
      <c r="S978" s="12">
        <v>0</v>
      </c>
      <c r="T978" s="12">
        <v>0</v>
      </c>
      <c r="U978" s="12">
        <v>0</v>
      </c>
      <c r="V978" s="12"/>
    </row>
    <row r="979" spans="1:22">
      <c r="A979" s="12" t="s">
        <v>621</v>
      </c>
      <c r="B979" s="12"/>
      <c r="C979" s="12">
        <v>0</v>
      </c>
      <c r="D979" s="12"/>
      <c r="E979" s="12">
        <v>0</v>
      </c>
      <c r="F979" s="12"/>
      <c r="G979" s="12"/>
      <c r="H979" s="12">
        <v>0</v>
      </c>
      <c r="I979" s="12">
        <v>0</v>
      </c>
      <c r="J979" s="12"/>
      <c r="K979" s="12">
        <v>0</v>
      </c>
      <c r="L979" s="12"/>
      <c r="M979" s="12"/>
      <c r="N979" s="12"/>
      <c r="O979" s="12"/>
      <c r="P979" s="12"/>
      <c r="Q979" s="12"/>
      <c r="R979" s="12">
        <f t="shared" si="48"/>
        <v>0</v>
      </c>
      <c r="S979" s="12">
        <v>0</v>
      </c>
      <c r="T979" s="12">
        <v>0</v>
      </c>
      <c r="U979" s="12">
        <v>0</v>
      </c>
      <c r="V979" s="12"/>
    </row>
    <row r="980" spans="1:22">
      <c r="A980" s="12" t="s">
        <v>699</v>
      </c>
      <c r="B980" s="12">
        <v>441131.6</v>
      </c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>
        <f t="shared" si="48"/>
        <v>441131.6</v>
      </c>
      <c r="S980" s="12"/>
      <c r="T980" s="12"/>
      <c r="U980" s="12"/>
      <c r="V980" s="12"/>
    </row>
    <row r="981" spans="1:22">
      <c r="A981" s="12" t="s">
        <v>622</v>
      </c>
      <c r="B981" s="12">
        <v>-754933</v>
      </c>
      <c r="C981" s="12">
        <v>0</v>
      </c>
      <c r="D981" s="12"/>
      <c r="E981" s="12">
        <v>0</v>
      </c>
      <c r="F981" s="12"/>
      <c r="G981" s="12"/>
      <c r="H981" s="12">
        <v>0</v>
      </c>
      <c r="I981" s="12">
        <v>0</v>
      </c>
      <c r="J981" s="12"/>
      <c r="K981" s="12">
        <v>0</v>
      </c>
      <c r="L981" s="12"/>
      <c r="M981" s="12"/>
      <c r="N981" s="12"/>
      <c r="O981" s="12"/>
      <c r="P981" s="12"/>
      <c r="Q981" s="12"/>
      <c r="R981" s="12">
        <f t="shared" si="48"/>
        <v>-754933</v>
      </c>
      <c r="S981" s="12">
        <v>0</v>
      </c>
      <c r="T981" s="12">
        <v>0</v>
      </c>
      <c r="U981" s="12">
        <v>0</v>
      </c>
      <c r="V981" s="12"/>
    </row>
    <row r="982" spans="1:22">
      <c r="A982" s="12" t="s">
        <v>526</v>
      </c>
      <c r="B982" s="12"/>
      <c r="C982" s="12">
        <v>0</v>
      </c>
      <c r="D982" s="12"/>
      <c r="E982" s="12">
        <v>0</v>
      </c>
      <c r="F982" s="12"/>
      <c r="G982" s="12"/>
      <c r="H982" s="12">
        <v>0</v>
      </c>
      <c r="I982" s="12">
        <v>0</v>
      </c>
      <c r="J982" s="12"/>
      <c r="K982" s="12">
        <v>0</v>
      </c>
      <c r="L982" s="12"/>
      <c r="M982" s="12"/>
      <c r="N982" s="12"/>
      <c r="O982" s="12"/>
      <c r="P982" s="12"/>
      <c r="Q982" s="12"/>
      <c r="R982" s="12">
        <f t="shared" si="48"/>
        <v>0</v>
      </c>
      <c r="S982" s="12">
        <v>0</v>
      </c>
      <c r="T982" s="12">
        <v>0</v>
      </c>
      <c r="U982" s="12">
        <v>0</v>
      </c>
      <c r="V982" s="12"/>
    </row>
    <row r="983" spans="1:22">
      <c r="A983" s="12" t="s">
        <v>527</v>
      </c>
      <c r="B983" s="12">
        <f>8550355.44-255000+7509461+547556.7</f>
        <v>16352373.139999999</v>
      </c>
      <c r="C983" s="12">
        <f>-10885-2917314-4475807</f>
        <v>-7404006</v>
      </c>
      <c r="D983" s="12">
        <v>4000000</v>
      </c>
      <c r="E983" s="12">
        <v>0</v>
      </c>
      <c r="F983" s="12"/>
      <c r="G983" s="12"/>
      <c r="H983" s="12">
        <v>0</v>
      </c>
      <c r="I983" s="12">
        <v>0</v>
      </c>
      <c r="J983" s="12">
        <v>-6500000</v>
      </c>
      <c r="K983" s="12">
        <v>0</v>
      </c>
      <c r="L983" s="12"/>
      <c r="M983" s="12"/>
      <c r="N983" s="12"/>
      <c r="O983" s="12"/>
      <c r="P983" s="12"/>
      <c r="Q983" s="12"/>
      <c r="R983" s="12">
        <f t="shared" si="48"/>
        <v>6448367.1399999987</v>
      </c>
      <c r="S983" s="12"/>
      <c r="T983" s="12">
        <v>0</v>
      </c>
      <c r="U983" s="12">
        <v>0</v>
      </c>
      <c r="V983" s="12"/>
    </row>
    <row r="984" spans="1:22">
      <c r="A984" s="12" t="s">
        <v>697</v>
      </c>
      <c r="B984" s="12">
        <f>9614573.35+15735547</f>
        <v>25350120.350000001</v>
      </c>
      <c r="C984" s="12">
        <f>-8124339-2235568-2923550</f>
        <v>-13283457</v>
      </c>
      <c r="D984" s="12">
        <v>2500000</v>
      </c>
      <c r="E984" s="12">
        <f>5000000</f>
        <v>5000000</v>
      </c>
      <c r="F984" s="12"/>
      <c r="G984" s="12"/>
      <c r="H984" s="12"/>
      <c r="I984" s="12"/>
      <c r="J984" s="12"/>
      <c r="K984" s="12"/>
      <c r="L984" s="12"/>
      <c r="M984" s="12">
        <v>7000000</v>
      </c>
      <c r="N984" s="12">
        <v>-7000000</v>
      </c>
      <c r="O984" s="12">
        <v>0</v>
      </c>
      <c r="P984" s="12"/>
      <c r="Q984" s="12"/>
      <c r="R984" s="12">
        <f t="shared" si="48"/>
        <v>19566663.350000001</v>
      </c>
      <c r="S984" s="12"/>
      <c r="T984" s="12"/>
      <c r="U984" s="12"/>
      <c r="V984" s="12"/>
    </row>
    <row r="985" spans="1:22">
      <c r="A985" s="12" t="s">
        <v>528</v>
      </c>
      <c r="B985" s="12">
        <f>6327227+684</f>
        <v>6327911</v>
      </c>
      <c r="C985" s="12">
        <v>-3921026</v>
      </c>
      <c r="D985" s="12"/>
      <c r="E985" s="12">
        <v>0</v>
      </c>
      <c r="F985" s="12"/>
      <c r="G985" s="12"/>
      <c r="H985" s="12">
        <v>0</v>
      </c>
      <c r="I985" s="12">
        <v>0</v>
      </c>
      <c r="J985" s="12"/>
      <c r="K985" s="12">
        <v>310500</v>
      </c>
      <c r="L985" s="12"/>
      <c r="M985" s="12"/>
      <c r="N985" s="12"/>
      <c r="O985" s="12"/>
      <c r="P985" s="12"/>
      <c r="Q985" s="12"/>
      <c r="R985" s="12">
        <f t="shared" si="48"/>
        <v>2717385</v>
      </c>
      <c r="S985" s="12"/>
      <c r="T985" s="12">
        <v>0</v>
      </c>
      <c r="U985" s="12">
        <v>0</v>
      </c>
      <c r="V985" s="12"/>
    </row>
    <row r="986" spans="1:22">
      <c r="A986" s="12" t="s">
        <v>529</v>
      </c>
      <c r="B986" s="12"/>
      <c r="C986" s="12">
        <v>0</v>
      </c>
      <c r="D986" s="12"/>
      <c r="E986" s="12">
        <v>0</v>
      </c>
      <c r="F986" s="12"/>
      <c r="G986" s="12"/>
      <c r="H986" s="12">
        <v>0</v>
      </c>
      <c r="I986" s="12">
        <v>0</v>
      </c>
      <c r="J986" s="12"/>
      <c r="K986" s="12">
        <v>0</v>
      </c>
      <c r="L986" s="12"/>
      <c r="M986" s="12"/>
      <c r="N986" s="12"/>
      <c r="O986" s="12"/>
      <c r="P986" s="12"/>
      <c r="Q986" s="12"/>
      <c r="R986" s="12">
        <f t="shared" si="48"/>
        <v>0</v>
      </c>
      <c r="S986" s="12"/>
      <c r="T986" s="12">
        <v>0</v>
      </c>
      <c r="U986" s="12">
        <v>0</v>
      </c>
      <c r="V986" s="12"/>
    </row>
    <row r="987" spans="1:22">
      <c r="A987" s="12" t="s">
        <v>620</v>
      </c>
      <c r="B987" s="12"/>
      <c r="C987" s="12">
        <v>0</v>
      </c>
      <c r="D987" s="12"/>
      <c r="E987" s="12">
        <v>0</v>
      </c>
      <c r="F987" s="12"/>
      <c r="G987" s="12"/>
      <c r="H987" s="12">
        <v>0</v>
      </c>
      <c r="I987" s="12">
        <v>0</v>
      </c>
      <c r="J987" s="12"/>
      <c r="K987" s="12">
        <v>0</v>
      </c>
      <c r="L987" s="12"/>
      <c r="M987" s="12"/>
      <c r="N987" s="12"/>
      <c r="O987" s="12"/>
      <c r="P987" s="12"/>
      <c r="Q987" s="12"/>
      <c r="R987" s="12">
        <f t="shared" si="48"/>
        <v>0</v>
      </c>
      <c r="S987" s="12"/>
      <c r="T987" s="12">
        <v>0</v>
      </c>
      <c r="U987" s="12">
        <v>0</v>
      </c>
      <c r="V987" s="12"/>
    </row>
    <row r="988" spans="1:22">
      <c r="A988" s="12" t="s">
        <v>530</v>
      </c>
      <c r="B988" s="12">
        <v>33186859</v>
      </c>
      <c r="C988" s="12">
        <v>-33174152</v>
      </c>
      <c r="D988" s="12"/>
      <c r="E988" s="12">
        <v>0</v>
      </c>
      <c r="F988" s="12"/>
      <c r="G988" s="12"/>
      <c r="H988" s="12">
        <v>0</v>
      </c>
      <c r="I988" s="12">
        <v>0</v>
      </c>
      <c r="J988" s="12"/>
      <c r="K988" s="12">
        <v>0</v>
      </c>
      <c r="L988" s="12"/>
      <c r="M988" s="12"/>
      <c r="N988" s="12"/>
      <c r="O988" s="12"/>
      <c r="P988" s="12"/>
      <c r="Q988" s="12"/>
      <c r="R988" s="12">
        <f t="shared" si="48"/>
        <v>12707</v>
      </c>
      <c r="S988" s="12"/>
      <c r="T988" s="12">
        <v>0</v>
      </c>
      <c r="U988" s="12">
        <v>0</v>
      </c>
      <c r="V988" s="12"/>
    </row>
    <row r="989" spans="1:22">
      <c r="A989" s="12" t="s">
        <v>531</v>
      </c>
      <c r="B989" s="12">
        <v>2299710</v>
      </c>
      <c r="C989" s="12">
        <v>0</v>
      </c>
      <c r="D989" s="12"/>
      <c r="E989" s="12">
        <v>0</v>
      </c>
      <c r="F989" s="12"/>
      <c r="G989" s="12"/>
      <c r="H989" s="12">
        <v>0</v>
      </c>
      <c r="I989" s="12">
        <v>0</v>
      </c>
      <c r="J989" s="12"/>
      <c r="K989" s="12">
        <v>13200</v>
      </c>
      <c r="L989" s="12"/>
      <c r="M989" s="12"/>
      <c r="N989" s="12"/>
      <c r="O989" s="12"/>
      <c r="P989" s="12"/>
      <c r="Q989" s="12"/>
      <c r="R989" s="12">
        <f t="shared" si="48"/>
        <v>2312910</v>
      </c>
      <c r="S989" s="12"/>
      <c r="T989" s="12">
        <v>0</v>
      </c>
      <c r="U989" s="12">
        <v>0</v>
      </c>
      <c r="V989" s="12"/>
    </row>
    <row r="990" spans="1:22">
      <c r="A990" s="12" t="s">
        <v>532</v>
      </c>
      <c r="B990" s="12"/>
      <c r="C990" s="12">
        <v>0</v>
      </c>
      <c r="D990" s="12"/>
      <c r="E990" s="12">
        <v>0</v>
      </c>
      <c r="F990" s="12"/>
      <c r="G990" s="12"/>
      <c r="H990" s="12">
        <v>0</v>
      </c>
      <c r="I990" s="12">
        <v>0</v>
      </c>
      <c r="J990" s="12"/>
      <c r="K990" s="12">
        <v>0</v>
      </c>
      <c r="L990" s="12"/>
      <c r="M990" s="12"/>
      <c r="N990" s="12"/>
      <c r="O990" s="12"/>
      <c r="P990" s="12"/>
      <c r="Q990" s="12"/>
      <c r="R990" s="12">
        <f t="shared" si="48"/>
        <v>0</v>
      </c>
      <c r="S990" s="12"/>
      <c r="T990" s="12">
        <v>0</v>
      </c>
      <c r="U990" s="12">
        <v>0</v>
      </c>
      <c r="V990" s="12"/>
    </row>
    <row r="991" spans="1:22">
      <c r="A991" s="12" t="s">
        <v>533</v>
      </c>
      <c r="B991" s="12"/>
      <c r="C991" s="12">
        <v>0</v>
      </c>
      <c r="D991" s="12"/>
      <c r="E991" s="12">
        <v>0</v>
      </c>
      <c r="F991" s="12"/>
      <c r="G991" s="12"/>
      <c r="H991" s="12">
        <v>0</v>
      </c>
      <c r="I991" s="12">
        <v>0</v>
      </c>
      <c r="J991" s="12"/>
      <c r="K991" s="12">
        <v>0</v>
      </c>
      <c r="L991" s="12"/>
      <c r="M991" s="12"/>
      <c r="N991" s="12"/>
      <c r="O991" s="12"/>
      <c r="P991" s="12"/>
      <c r="Q991" s="12"/>
      <c r="R991" s="12">
        <f t="shared" si="48"/>
        <v>0</v>
      </c>
      <c r="S991" s="12"/>
      <c r="T991" s="12">
        <v>0</v>
      </c>
      <c r="U991" s="12">
        <v>0</v>
      </c>
      <c r="V991" s="12"/>
    </row>
    <row r="992" spans="1:22">
      <c r="A992" s="12" t="s">
        <v>215</v>
      </c>
      <c r="B992" s="12">
        <f>308744+30</f>
        <v>308774</v>
      </c>
      <c r="C992" s="12">
        <v>0</v>
      </c>
      <c r="D992" s="12"/>
      <c r="E992" s="12">
        <v>0</v>
      </c>
      <c r="F992" s="12"/>
      <c r="G992" s="12"/>
      <c r="H992" s="12">
        <v>0</v>
      </c>
      <c r="I992" s="12">
        <v>0</v>
      </c>
      <c r="J992" s="12"/>
      <c r="K992" s="12">
        <v>0</v>
      </c>
      <c r="L992" s="12"/>
      <c r="M992" s="12"/>
      <c r="N992" s="12"/>
      <c r="O992" s="12"/>
      <c r="P992" s="12"/>
      <c r="Q992" s="12"/>
      <c r="R992" s="12">
        <f t="shared" si="48"/>
        <v>308774</v>
      </c>
      <c r="S992" s="12"/>
      <c r="T992" s="12">
        <v>0</v>
      </c>
      <c r="U992" s="12">
        <v>0</v>
      </c>
      <c r="V992" s="12"/>
    </row>
    <row r="993" spans="1:24">
      <c r="A993" s="12" t="s">
        <v>216</v>
      </c>
      <c r="B993" s="12">
        <f>7535000+22520000</f>
        <v>30055000</v>
      </c>
      <c r="C993" s="12">
        <f>-4422650-11000000</f>
        <v>-15422650</v>
      </c>
      <c r="D993" s="12"/>
      <c r="E993" s="12">
        <v>0</v>
      </c>
      <c r="F993" s="12"/>
      <c r="G993" s="12"/>
      <c r="H993" s="12">
        <v>0</v>
      </c>
      <c r="I993" s="12">
        <v>0</v>
      </c>
      <c r="J993" s="12"/>
      <c r="K993" s="12">
        <v>0</v>
      </c>
      <c r="L993" s="12"/>
      <c r="M993" s="12"/>
      <c r="N993" s="12"/>
      <c r="O993" s="12"/>
      <c r="P993" s="12"/>
      <c r="Q993" s="12"/>
      <c r="R993" s="12">
        <f t="shared" si="48"/>
        <v>14632350</v>
      </c>
      <c r="S993" s="12">
        <v>0</v>
      </c>
      <c r="T993" s="12">
        <v>0</v>
      </c>
      <c r="U993" s="12">
        <v>0</v>
      </c>
      <c r="V993" s="12"/>
    </row>
    <row r="994" spans="1:24">
      <c r="A994" s="12" t="s">
        <v>217</v>
      </c>
      <c r="B994" s="12"/>
      <c r="C994" s="12">
        <v>0</v>
      </c>
      <c r="D994" s="12"/>
      <c r="E994" s="12">
        <v>0</v>
      </c>
      <c r="F994" s="12"/>
      <c r="G994" s="12"/>
      <c r="H994" s="12">
        <v>0</v>
      </c>
      <c r="I994" s="12">
        <v>0</v>
      </c>
      <c r="J994" s="12"/>
      <c r="K994" s="12">
        <v>0</v>
      </c>
      <c r="L994" s="12"/>
      <c r="M994" s="12"/>
      <c r="N994" s="12"/>
      <c r="O994" s="12"/>
      <c r="P994" s="12"/>
      <c r="Q994" s="12"/>
      <c r="R994" s="12">
        <f t="shared" si="48"/>
        <v>0</v>
      </c>
      <c r="S994" s="12">
        <v>0</v>
      </c>
      <c r="T994" s="12"/>
      <c r="U994" s="12"/>
      <c r="V994" s="12"/>
    </row>
    <row r="995" spans="1:24">
      <c r="A995" s="12" t="s">
        <v>703</v>
      </c>
      <c r="B995" s="12">
        <v>2885</v>
      </c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>
        <f t="shared" si="48"/>
        <v>2885</v>
      </c>
      <c r="S995" s="12"/>
      <c r="T995" s="12"/>
      <c r="U995" s="12"/>
      <c r="V995" s="12"/>
    </row>
    <row r="996" spans="1:24">
      <c r="A996" s="12" t="s">
        <v>218</v>
      </c>
      <c r="B996" s="12">
        <f>48284548+10596673+63318464+419000+3057676+10046981+25910154.81+448529+3244199.53+26264222+2694911</f>
        <v>194285358.34</v>
      </c>
      <c r="C996" s="12">
        <f>-14373066-63302166-43936746-369000-10272314-21767169-72005340.8-11411386-3685149-24608380-82699630</f>
        <v>-348430346.80000001</v>
      </c>
      <c r="D996" s="12"/>
      <c r="E996" s="12">
        <f>75000000+15000000+8150000+15000000+55450000+8750000+2500000+21000000+90100000</f>
        <v>290950000</v>
      </c>
      <c r="F996" s="12">
        <v>8437500</v>
      </c>
      <c r="G996" s="12"/>
      <c r="H996" s="12"/>
      <c r="I996" s="12"/>
      <c r="J996" s="12">
        <f>-50000-36916</f>
        <v>-86916</v>
      </c>
      <c r="K996" s="12">
        <v>0</v>
      </c>
      <c r="L996" s="12"/>
      <c r="M996" s="12"/>
      <c r="N996" s="12"/>
      <c r="O996" s="12"/>
      <c r="P996" s="12"/>
      <c r="Q996" s="12">
        <f>-443200-1082281</f>
        <v>-1525481</v>
      </c>
      <c r="R996" s="12">
        <f t="shared" si="48"/>
        <v>143630114.53999999</v>
      </c>
      <c r="S996" s="12"/>
      <c r="T996" s="12"/>
      <c r="U996" s="12"/>
      <c r="V996" s="12">
        <f>-2249773+34381718+2059050.53+8272533.01+22655842+935362+22294507+2836612+33911482+18532781</f>
        <v>143630114.53999999</v>
      </c>
    </row>
    <row r="997" spans="1:24">
      <c r="A997" s="12" t="s">
        <v>621</v>
      </c>
      <c r="B997" s="12">
        <f>585939+4954205+5561598.87+15060135.55+1268230.05+612044+4187691.81+1473115.8-102329-1454788+945810.21+7751718</f>
        <v>40843371.289999999</v>
      </c>
      <c r="C997" s="12">
        <f>-2421680-14140341-30520651-27819230-688620-6450816-7273250-12316793.14-24760005-1034145-7574-2689702-35241027</f>
        <v>-165363834.13999999</v>
      </c>
      <c r="D997" s="12">
        <v>5000000</v>
      </c>
      <c r="E997" s="12">
        <f>2500000+20000000+29500000+15000000+2500000+7000000+5000000+7500000+27000000+2500000+2500000+10000000+30000000</f>
        <v>161000000</v>
      </c>
      <c r="F997" s="12"/>
      <c r="G997" s="12"/>
      <c r="H997" s="12"/>
      <c r="I997" s="12"/>
      <c r="J997" s="12">
        <v>-5000000</v>
      </c>
      <c r="K997" s="12"/>
      <c r="L997" s="12"/>
      <c r="M997" s="12"/>
      <c r="N997" s="12">
        <v>-5000000</v>
      </c>
      <c r="O997" s="12"/>
      <c r="P997" s="12">
        <v>5000000</v>
      </c>
      <c r="Q997" s="12">
        <f>443200+1082281</f>
        <v>1525481</v>
      </c>
      <c r="R997" s="12">
        <f t="shared" si="48"/>
        <v>38005018.150000006</v>
      </c>
      <c r="S997" s="12"/>
      <c r="T997" s="12"/>
      <c r="U997" s="12"/>
      <c r="V997" s="12"/>
      <c r="X997" s="46" t="s">
        <v>544</v>
      </c>
    </row>
    <row r="998" spans="1:24">
      <c r="A998" s="12" t="s">
        <v>715</v>
      </c>
      <c r="B998" s="12">
        <v>1875</v>
      </c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>
        <f t="shared" si="48"/>
        <v>1875</v>
      </c>
      <c r="S998" s="12"/>
      <c r="T998" s="12"/>
      <c r="U998" s="12"/>
      <c r="V998" s="12"/>
    </row>
    <row r="999" spans="1:24">
      <c r="A999" s="12" t="s">
        <v>733</v>
      </c>
      <c r="B999" s="12"/>
      <c r="C999" s="12">
        <v>-14576</v>
      </c>
      <c r="D999" s="12"/>
      <c r="E999" s="12">
        <v>247449</v>
      </c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>
        <f t="shared" si="48"/>
        <v>232873</v>
      </c>
      <c r="S999" s="12"/>
      <c r="T999" s="12"/>
      <c r="U999" s="12"/>
      <c r="V999" s="12"/>
    </row>
    <row r="1000" spans="1:24">
      <c r="A1000" s="12" t="s">
        <v>219</v>
      </c>
      <c r="B1000" s="12"/>
      <c r="C1000" s="12">
        <v>0</v>
      </c>
      <c r="D1000" s="12"/>
      <c r="E1000" s="12">
        <v>0</v>
      </c>
      <c r="F1000" s="12"/>
      <c r="G1000" s="12"/>
      <c r="H1000" s="12">
        <v>0</v>
      </c>
      <c r="I1000" s="12">
        <v>0</v>
      </c>
      <c r="J1000" s="12"/>
      <c r="K1000" s="12">
        <v>0</v>
      </c>
      <c r="L1000" s="12"/>
      <c r="M1000" s="12"/>
      <c r="N1000" s="12"/>
      <c r="O1000" s="12"/>
      <c r="P1000" s="12"/>
      <c r="Q1000" s="12"/>
      <c r="R1000" s="12">
        <f t="shared" si="48"/>
        <v>0</v>
      </c>
      <c r="S1000" s="12"/>
      <c r="T1000" s="12"/>
      <c r="U1000" s="12"/>
      <c r="V1000" s="12"/>
    </row>
    <row r="1001" spans="1:24">
      <c r="A1001" s="12" t="s">
        <v>220</v>
      </c>
      <c r="B1001" s="12"/>
      <c r="C1001" s="12">
        <v>0</v>
      </c>
      <c r="D1001" s="12"/>
      <c r="E1001" s="12">
        <v>0</v>
      </c>
      <c r="F1001" s="12"/>
      <c r="G1001" s="12"/>
      <c r="H1001" s="12">
        <v>0</v>
      </c>
      <c r="I1001" s="12">
        <v>0</v>
      </c>
      <c r="J1001" s="12"/>
      <c r="K1001" s="12">
        <v>0</v>
      </c>
      <c r="L1001" s="12"/>
      <c r="M1001" s="12"/>
      <c r="N1001" s="12"/>
      <c r="O1001" s="12"/>
      <c r="P1001" s="12"/>
      <c r="Q1001" s="12"/>
      <c r="R1001" s="12">
        <f t="shared" si="48"/>
        <v>0</v>
      </c>
      <c r="S1001" s="12"/>
      <c r="T1001" s="12"/>
      <c r="U1001" s="12"/>
      <c r="V1001" s="12"/>
    </row>
    <row r="1002" spans="1:24">
      <c r="A1002" s="12" t="s">
        <v>221</v>
      </c>
      <c r="B1002" s="12"/>
      <c r="C1002" s="12">
        <v>0</v>
      </c>
      <c r="D1002" s="12"/>
      <c r="E1002" s="12">
        <v>0</v>
      </c>
      <c r="F1002" s="12"/>
      <c r="G1002" s="12"/>
      <c r="H1002" s="12">
        <v>0</v>
      </c>
      <c r="I1002" s="12">
        <v>0</v>
      </c>
      <c r="J1002" s="12"/>
      <c r="K1002" s="12">
        <v>0</v>
      </c>
      <c r="L1002" s="12"/>
      <c r="M1002" s="12"/>
      <c r="N1002" s="12"/>
      <c r="O1002" s="12"/>
      <c r="P1002" s="12"/>
      <c r="Q1002" s="12"/>
      <c r="R1002" s="12">
        <f t="shared" si="48"/>
        <v>0</v>
      </c>
      <c r="S1002" s="12"/>
      <c r="T1002" s="12"/>
      <c r="U1002" s="12"/>
      <c r="V1002" s="12"/>
    </row>
    <row r="1003" spans="1:24">
      <c r="A1003" s="12" t="s">
        <v>222</v>
      </c>
      <c r="B1003" s="12"/>
      <c r="C1003" s="12">
        <v>0</v>
      </c>
      <c r="D1003" s="12"/>
      <c r="E1003" s="12">
        <v>0</v>
      </c>
      <c r="F1003" s="12"/>
      <c r="G1003" s="12"/>
      <c r="H1003" s="12">
        <v>0</v>
      </c>
      <c r="I1003" s="12">
        <v>0</v>
      </c>
      <c r="J1003" s="12"/>
      <c r="K1003" s="12">
        <v>0</v>
      </c>
      <c r="L1003" s="12"/>
      <c r="M1003" s="12"/>
      <c r="N1003" s="12"/>
      <c r="O1003" s="12"/>
      <c r="P1003" s="12"/>
      <c r="Q1003" s="12"/>
      <c r="R1003" s="12">
        <f t="shared" si="48"/>
        <v>0</v>
      </c>
      <c r="S1003" s="12"/>
      <c r="T1003" s="12"/>
      <c r="U1003" s="12"/>
      <c r="V1003" s="12"/>
    </row>
    <row r="1004" spans="1:24">
      <c r="A1004" s="12" t="s">
        <v>223</v>
      </c>
      <c r="B1004" s="12"/>
      <c r="C1004" s="12">
        <v>0</v>
      </c>
      <c r="D1004" s="12"/>
      <c r="E1004" s="12">
        <v>0</v>
      </c>
      <c r="F1004" s="12"/>
      <c r="G1004" s="12"/>
      <c r="H1004" s="12">
        <v>0</v>
      </c>
      <c r="I1004" s="12">
        <v>0</v>
      </c>
      <c r="J1004" s="12"/>
      <c r="K1004" s="12">
        <v>0</v>
      </c>
      <c r="L1004" s="12"/>
      <c r="M1004" s="12"/>
      <c r="N1004" s="12"/>
      <c r="O1004" s="12"/>
      <c r="P1004" s="12"/>
      <c r="Q1004" s="12"/>
      <c r="R1004" s="12">
        <f t="shared" si="48"/>
        <v>0</v>
      </c>
      <c r="S1004" s="12"/>
      <c r="T1004" s="12"/>
      <c r="U1004" s="12"/>
      <c r="V1004" s="12"/>
    </row>
    <row r="1005" spans="1:24">
      <c r="A1005" s="12" t="s">
        <v>224</v>
      </c>
      <c r="B1005" s="12"/>
      <c r="C1005" s="12">
        <v>0</v>
      </c>
      <c r="D1005" s="12"/>
      <c r="E1005" s="12">
        <v>0</v>
      </c>
      <c r="F1005" s="12"/>
      <c r="G1005" s="12"/>
      <c r="H1005" s="12">
        <v>0</v>
      </c>
      <c r="I1005" s="12">
        <v>0</v>
      </c>
      <c r="J1005" s="12"/>
      <c r="K1005" s="12">
        <v>0</v>
      </c>
      <c r="L1005" s="12"/>
      <c r="M1005" s="12"/>
      <c r="N1005" s="12"/>
      <c r="O1005" s="12"/>
      <c r="P1005" s="12"/>
      <c r="Q1005" s="12"/>
      <c r="R1005" s="12">
        <f t="shared" si="48"/>
        <v>0</v>
      </c>
      <c r="S1005" s="12"/>
      <c r="T1005" s="12"/>
      <c r="U1005" s="12"/>
      <c r="V1005" s="12"/>
    </row>
    <row r="1006" spans="1:24">
      <c r="A1006" s="12" t="s">
        <v>225</v>
      </c>
      <c r="B1006" s="12"/>
      <c r="C1006" s="12">
        <v>0</v>
      </c>
      <c r="D1006" s="12"/>
      <c r="E1006" s="12">
        <v>0</v>
      </c>
      <c r="F1006" s="12"/>
      <c r="G1006" s="12"/>
      <c r="H1006" s="12">
        <v>0</v>
      </c>
      <c r="I1006" s="12">
        <v>0</v>
      </c>
      <c r="J1006" s="12"/>
      <c r="K1006" s="12">
        <v>0</v>
      </c>
      <c r="L1006" s="12"/>
      <c r="M1006" s="12"/>
      <c r="N1006" s="12"/>
      <c r="O1006" s="12"/>
      <c r="P1006" s="12"/>
      <c r="Q1006" s="12"/>
      <c r="R1006" s="12">
        <f t="shared" si="48"/>
        <v>0</v>
      </c>
      <c r="S1006" s="12"/>
      <c r="T1006" s="12"/>
      <c r="U1006" s="12"/>
      <c r="V1006" s="12"/>
    </row>
    <row r="1007" spans="1:24">
      <c r="A1007" s="12" t="s">
        <v>226</v>
      </c>
      <c r="B1007" s="12"/>
      <c r="C1007" s="12">
        <v>0</v>
      </c>
      <c r="D1007" s="12"/>
      <c r="E1007" s="12">
        <v>0</v>
      </c>
      <c r="F1007" s="12"/>
      <c r="G1007" s="12"/>
      <c r="H1007" s="12">
        <v>0</v>
      </c>
      <c r="I1007" s="12">
        <v>0</v>
      </c>
      <c r="J1007" s="12"/>
      <c r="K1007" s="12">
        <v>0</v>
      </c>
      <c r="L1007" s="12"/>
      <c r="M1007" s="12"/>
      <c r="N1007" s="12"/>
      <c r="O1007" s="12"/>
      <c r="P1007" s="12"/>
      <c r="Q1007" s="12"/>
      <c r="R1007" s="12">
        <f t="shared" si="48"/>
        <v>0</v>
      </c>
      <c r="S1007" s="12">
        <v>0</v>
      </c>
      <c r="T1007" s="12"/>
      <c r="U1007" s="12"/>
      <c r="V1007" s="12"/>
    </row>
    <row r="1008" spans="1:24">
      <c r="A1008" s="12" t="s">
        <v>44</v>
      </c>
      <c r="B1008" s="12">
        <f>3806705+12730063</f>
        <v>16536768</v>
      </c>
      <c r="C1008" s="12">
        <v>0</v>
      </c>
      <c r="D1008" s="12"/>
      <c r="E1008" s="12">
        <v>0</v>
      </c>
      <c r="F1008" s="12"/>
      <c r="G1008" s="12">
        <v>-7962761</v>
      </c>
      <c r="H1008" s="12">
        <v>0</v>
      </c>
      <c r="I1008" s="12">
        <v>0</v>
      </c>
      <c r="J1008" s="12"/>
      <c r="K1008" s="12">
        <v>0</v>
      </c>
      <c r="L1008" s="12"/>
      <c r="M1008" s="12"/>
      <c r="N1008" s="12"/>
      <c r="O1008" s="12"/>
      <c r="P1008" s="12"/>
      <c r="Q1008" s="12"/>
      <c r="R1008" s="12">
        <f t="shared" si="48"/>
        <v>8574007</v>
      </c>
      <c r="S1008" s="12">
        <v>0</v>
      </c>
      <c r="T1008" s="12"/>
      <c r="U1008" s="12"/>
      <c r="V1008" s="12"/>
    </row>
    <row r="1009" spans="1:22">
      <c r="A1009" s="12" t="s">
        <v>438</v>
      </c>
      <c r="B1009" s="12"/>
      <c r="C1009" s="12">
        <v>0</v>
      </c>
      <c r="D1009" s="12"/>
      <c r="E1009" s="12">
        <v>0</v>
      </c>
      <c r="F1009" s="12"/>
      <c r="G1009" s="12"/>
      <c r="H1009" s="12">
        <v>0</v>
      </c>
      <c r="I1009" s="12">
        <v>0</v>
      </c>
      <c r="J1009" s="12"/>
      <c r="K1009" s="12">
        <v>0</v>
      </c>
      <c r="L1009" s="12"/>
      <c r="M1009" s="12"/>
      <c r="N1009" s="12"/>
      <c r="O1009" s="12"/>
      <c r="P1009" s="12"/>
      <c r="Q1009" s="12"/>
      <c r="R1009" s="12">
        <f t="shared" si="48"/>
        <v>0</v>
      </c>
      <c r="S1009" s="12">
        <v>0</v>
      </c>
      <c r="T1009" s="12">
        <v>0</v>
      </c>
      <c r="U1009" s="12">
        <v>0</v>
      </c>
      <c r="V1009" s="12"/>
    </row>
    <row r="1010" spans="1:2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>
        <f t="shared" si="48"/>
        <v>0</v>
      </c>
      <c r="S1010" s="12"/>
      <c r="T1010" s="12"/>
      <c r="U1010" s="12"/>
      <c r="V1010" s="12"/>
    </row>
    <row r="1011" spans="1:22">
      <c r="A1011" s="13" t="s">
        <v>294</v>
      </c>
      <c r="B1011" s="13">
        <f>SUM(B946:B1010)</f>
        <v>932708925.25</v>
      </c>
      <c r="C1011" s="13">
        <f t="shared" ref="C1011:Q1011" si="49">SUM(C946:C1010)</f>
        <v>-774018893.93999994</v>
      </c>
      <c r="D1011" s="13">
        <f t="shared" si="49"/>
        <v>11500000</v>
      </c>
      <c r="E1011" s="13">
        <f t="shared" si="49"/>
        <v>534571849</v>
      </c>
      <c r="F1011" s="13">
        <f t="shared" si="49"/>
        <v>8437500</v>
      </c>
      <c r="G1011" s="13">
        <f t="shared" si="49"/>
        <v>-7962761</v>
      </c>
      <c r="H1011" s="13">
        <f t="shared" si="49"/>
        <v>0</v>
      </c>
      <c r="I1011" s="13">
        <f t="shared" si="49"/>
        <v>0</v>
      </c>
      <c r="J1011" s="13">
        <f t="shared" si="49"/>
        <v>-11586916</v>
      </c>
      <c r="K1011" s="13">
        <f t="shared" si="49"/>
        <v>36222228</v>
      </c>
      <c r="L1011" s="13">
        <f t="shared" si="49"/>
        <v>-61710.5</v>
      </c>
      <c r="M1011" s="13">
        <f t="shared" si="49"/>
        <v>7000000</v>
      </c>
      <c r="N1011" s="13">
        <f t="shared" si="49"/>
        <v>-12000000</v>
      </c>
      <c r="O1011" s="13">
        <f t="shared" si="49"/>
        <v>0</v>
      </c>
      <c r="P1011" s="13">
        <f t="shared" si="49"/>
        <v>5000000</v>
      </c>
      <c r="Q1011" s="13">
        <f t="shared" si="49"/>
        <v>0</v>
      </c>
      <c r="R1011" s="13">
        <f>SUM(R946:R1009)</f>
        <v>729810220.80999994</v>
      </c>
      <c r="S1011" s="13">
        <f>SUM(S949:S1009)</f>
        <v>0</v>
      </c>
      <c r="T1011" s="13">
        <f>SUM(T949:T1009)</f>
        <v>0</v>
      </c>
      <c r="U1011" s="13">
        <f>SUM(U949:U1009)</f>
        <v>0</v>
      </c>
      <c r="V1011" s="13"/>
    </row>
    <row r="1012" spans="1:2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 t="s">
        <v>544</v>
      </c>
      <c r="S1012" s="12"/>
      <c r="T1012" s="12"/>
      <c r="U1012" s="12"/>
      <c r="V1012" s="12"/>
    </row>
    <row r="1013" spans="1:22">
      <c r="A1013" s="12"/>
      <c r="B1013" s="74" t="s">
        <v>471</v>
      </c>
      <c r="C1013" s="74" t="s">
        <v>41</v>
      </c>
      <c r="D1013" s="74"/>
      <c r="E1013" s="183" t="s">
        <v>42</v>
      </c>
      <c r="F1013" s="183" t="s">
        <v>744</v>
      </c>
      <c r="G1013" s="183"/>
      <c r="H1013" s="183"/>
      <c r="I1013" s="183"/>
      <c r="J1013" s="183"/>
      <c r="K1013" s="74"/>
      <c r="L1013" s="74"/>
      <c r="M1013" s="74"/>
      <c r="N1013" s="74"/>
      <c r="O1013" s="74"/>
      <c r="P1013" s="74"/>
      <c r="Q1013" s="74"/>
      <c r="R1013" s="74" t="s">
        <v>3</v>
      </c>
      <c r="S1013" s="74"/>
      <c r="T1013" s="184"/>
      <c r="U1013" s="184"/>
      <c r="V1013" s="74"/>
    </row>
    <row r="1014" spans="1:22">
      <c r="A1014" s="12"/>
      <c r="B1014" s="74" t="s">
        <v>120</v>
      </c>
      <c r="C1014" s="74" t="s">
        <v>440</v>
      </c>
      <c r="D1014" s="74"/>
      <c r="E1014" s="183" t="s">
        <v>43</v>
      </c>
      <c r="F1014" s="183" t="s">
        <v>745</v>
      </c>
      <c r="G1014" s="183"/>
      <c r="H1014" s="74"/>
      <c r="I1014" s="74"/>
      <c r="J1014" s="74"/>
      <c r="K1014" s="74"/>
      <c r="L1014" s="74"/>
      <c r="M1014" s="74"/>
      <c r="N1014" s="74"/>
      <c r="O1014" s="74"/>
      <c r="P1014" s="74"/>
      <c r="Q1014" s="74"/>
      <c r="R1014" s="74" t="s">
        <v>92</v>
      </c>
      <c r="S1014" s="74"/>
      <c r="T1014" s="184"/>
      <c r="U1014" s="184"/>
      <c r="V1014" s="13"/>
    </row>
    <row r="1015" spans="1:22">
      <c r="A1015" s="12"/>
      <c r="B1015" s="12"/>
      <c r="C1015" s="12"/>
      <c r="D1015" s="12"/>
      <c r="E1015" s="13" t="s">
        <v>440</v>
      </c>
      <c r="F1015" s="13"/>
      <c r="G1015" s="13"/>
      <c r="H1015" s="12"/>
      <c r="I1015" s="12"/>
      <c r="J1015" s="12"/>
      <c r="K1015" s="75"/>
      <c r="L1015" s="75"/>
      <c r="M1015" s="75"/>
      <c r="N1015" s="75"/>
      <c r="O1015" s="75"/>
      <c r="P1015" s="75"/>
      <c r="Q1015" s="75"/>
      <c r="R1015" s="75"/>
      <c r="S1015" s="75"/>
      <c r="T1015" s="12"/>
      <c r="U1015" s="12"/>
      <c r="V1015" s="12"/>
    </row>
    <row r="1016" spans="1:2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2"/>
      <c r="S1016" s="12"/>
      <c r="T1016" s="12"/>
      <c r="U1016" s="12"/>
      <c r="V1016" s="12"/>
    </row>
    <row r="1017" spans="1:2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</row>
    <row r="1018" spans="1:22">
      <c r="A1018" s="16" t="s">
        <v>459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</row>
    <row r="1019" spans="1:22">
      <c r="A1019" s="12" t="s">
        <v>562</v>
      </c>
      <c r="B1019" s="12">
        <f>33514122.28+204571107.07</f>
        <v>238085229.34999999</v>
      </c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>
        <f>SUM(B1019:Q1019)</f>
        <v>238085229.34999999</v>
      </c>
      <c r="S1019" s="12"/>
      <c r="T1019" s="12"/>
      <c r="U1019" s="12"/>
      <c r="V1019" s="12"/>
    </row>
    <row r="1020" spans="1:22">
      <c r="A1020" s="12" t="s">
        <v>227</v>
      </c>
      <c r="B1020" s="12"/>
      <c r="C1020" s="12">
        <v>0</v>
      </c>
      <c r="D1020" s="12"/>
      <c r="E1020" s="12">
        <v>0</v>
      </c>
      <c r="F1020" s="12"/>
      <c r="G1020" s="12"/>
      <c r="H1020" s="12">
        <v>0</v>
      </c>
      <c r="I1020" s="12"/>
      <c r="J1020" s="12"/>
      <c r="K1020" s="12">
        <v>0</v>
      </c>
      <c r="L1020" s="12"/>
      <c r="M1020" s="12"/>
      <c r="N1020" s="12"/>
      <c r="O1020" s="12"/>
      <c r="P1020" s="12"/>
      <c r="Q1020" s="12"/>
      <c r="R1020" s="12">
        <f t="shared" ref="R1020:R1083" si="50">SUM(B1020:Q1020)</f>
        <v>0</v>
      </c>
      <c r="S1020" s="12">
        <v>0</v>
      </c>
      <c r="T1020" s="12">
        <v>0</v>
      </c>
      <c r="U1020" s="12">
        <v>0</v>
      </c>
      <c r="V1020" s="12"/>
    </row>
    <row r="1021" spans="1:22">
      <c r="A1021" s="12" t="s">
        <v>228</v>
      </c>
      <c r="B1021" s="12"/>
      <c r="C1021" s="12">
        <v>0</v>
      </c>
      <c r="D1021" s="12"/>
      <c r="E1021" s="12">
        <v>0</v>
      </c>
      <c r="F1021" s="12"/>
      <c r="G1021" s="12"/>
      <c r="H1021" s="12">
        <v>0</v>
      </c>
      <c r="I1021" s="12"/>
      <c r="J1021" s="12"/>
      <c r="K1021" s="12">
        <v>0</v>
      </c>
      <c r="L1021" s="12"/>
      <c r="M1021" s="12"/>
      <c r="N1021" s="12"/>
      <c r="O1021" s="12"/>
      <c r="P1021" s="12"/>
      <c r="Q1021" s="12"/>
      <c r="R1021" s="12">
        <f t="shared" si="50"/>
        <v>0</v>
      </c>
      <c r="S1021" s="12">
        <v>0</v>
      </c>
      <c r="T1021" s="12">
        <v>0</v>
      </c>
      <c r="U1021" s="12">
        <v>0</v>
      </c>
      <c r="V1021" s="12"/>
    </row>
    <row r="1022" spans="1:22">
      <c r="A1022" s="12" t="s">
        <v>229</v>
      </c>
      <c r="B1022" s="12"/>
      <c r="C1022" s="12">
        <v>0</v>
      </c>
      <c r="D1022" s="12"/>
      <c r="E1022" s="12">
        <v>0</v>
      </c>
      <c r="F1022" s="12"/>
      <c r="G1022" s="12"/>
      <c r="H1022" s="12">
        <v>0</v>
      </c>
      <c r="I1022" s="12"/>
      <c r="J1022" s="12"/>
      <c r="K1022" s="12">
        <v>0</v>
      </c>
      <c r="L1022" s="12"/>
      <c r="M1022" s="12"/>
      <c r="N1022" s="12"/>
      <c r="O1022" s="12"/>
      <c r="P1022" s="12"/>
      <c r="Q1022" s="12"/>
      <c r="R1022" s="12">
        <f t="shared" si="50"/>
        <v>0</v>
      </c>
      <c r="S1022" s="12">
        <v>0</v>
      </c>
      <c r="T1022" s="12">
        <v>0</v>
      </c>
      <c r="U1022" s="12">
        <v>0</v>
      </c>
      <c r="V1022" s="12"/>
    </row>
    <row r="1023" spans="1:22">
      <c r="A1023" s="12" t="s">
        <v>230</v>
      </c>
      <c r="B1023" s="12"/>
      <c r="C1023" s="12">
        <v>0</v>
      </c>
      <c r="D1023" s="12"/>
      <c r="E1023" s="12">
        <v>0</v>
      </c>
      <c r="F1023" s="12"/>
      <c r="G1023" s="12"/>
      <c r="H1023" s="12">
        <v>0</v>
      </c>
      <c r="I1023" s="12"/>
      <c r="J1023" s="12"/>
      <c r="K1023" s="12">
        <v>0</v>
      </c>
      <c r="L1023" s="12"/>
      <c r="M1023" s="12"/>
      <c r="N1023" s="12"/>
      <c r="O1023" s="12"/>
      <c r="P1023" s="12"/>
      <c r="Q1023" s="12"/>
      <c r="R1023" s="12">
        <f t="shared" si="50"/>
        <v>0</v>
      </c>
      <c r="S1023" s="12">
        <v>0</v>
      </c>
      <c r="T1023" s="12">
        <v>0</v>
      </c>
      <c r="U1023" s="12">
        <v>0</v>
      </c>
      <c r="V1023" s="12"/>
    </row>
    <row r="1024" spans="1:22">
      <c r="A1024" s="12" t="s">
        <v>231</v>
      </c>
      <c r="B1024" s="12">
        <v>23311</v>
      </c>
      <c r="C1024" s="12">
        <v>0</v>
      </c>
      <c r="D1024" s="12"/>
      <c r="E1024" s="12">
        <v>0</v>
      </c>
      <c r="F1024" s="12"/>
      <c r="G1024" s="12"/>
      <c r="H1024" s="12">
        <v>0</v>
      </c>
      <c r="I1024" s="12"/>
      <c r="J1024" s="12"/>
      <c r="K1024" s="12">
        <v>0</v>
      </c>
      <c r="L1024" s="12"/>
      <c r="M1024" s="12"/>
      <c r="N1024" s="12"/>
      <c r="O1024" s="12"/>
      <c r="P1024" s="12"/>
      <c r="Q1024" s="12"/>
      <c r="R1024" s="12">
        <f t="shared" si="50"/>
        <v>23311</v>
      </c>
      <c r="S1024" s="12">
        <v>0</v>
      </c>
      <c r="T1024" s="12">
        <v>0</v>
      </c>
      <c r="U1024" s="12">
        <v>0</v>
      </c>
      <c r="V1024" s="12"/>
    </row>
    <row r="1025" spans="1:22">
      <c r="A1025" s="12" t="s">
        <v>268</v>
      </c>
      <c r="B1025" s="12"/>
      <c r="C1025" s="12">
        <v>0</v>
      </c>
      <c r="D1025" s="12"/>
      <c r="E1025" s="12">
        <v>0</v>
      </c>
      <c r="F1025" s="12"/>
      <c r="G1025" s="12"/>
      <c r="H1025" s="12">
        <v>0</v>
      </c>
      <c r="I1025" s="12"/>
      <c r="J1025" s="12"/>
      <c r="K1025" s="12">
        <v>0</v>
      </c>
      <c r="L1025" s="12"/>
      <c r="M1025" s="12"/>
      <c r="N1025" s="12"/>
      <c r="O1025" s="12"/>
      <c r="P1025" s="12"/>
      <c r="Q1025" s="12"/>
      <c r="R1025" s="12">
        <f t="shared" si="50"/>
        <v>0</v>
      </c>
      <c r="S1025" s="12">
        <v>0</v>
      </c>
      <c r="T1025" s="12">
        <v>0</v>
      </c>
      <c r="U1025" s="12">
        <v>0</v>
      </c>
      <c r="V1025" s="12"/>
    </row>
    <row r="1026" spans="1:22">
      <c r="A1026" s="12" t="s">
        <v>232</v>
      </c>
      <c r="B1026" s="12"/>
      <c r="C1026" s="12">
        <v>0</v>
      </c>
      <c r="D1026" s="12"/>
      <c r="E1026" s="12">
        <v>0</v>
      </c>
      <c r="F1026" s="12"/>
      <c r="G1026" s="12"/>
      <c r="H1026" s="12">
        <v>0</v>
      </c>
      <c r="I1026" s="12"/>
      <c r="J1026" s="12"/>
      <c r="K1026" s="12">
        <v>0</v>
      </c>
      <c r="L1026" s="12"/>
      <c r="M1026" s="12"/>
      <c r="N1026" s="12"/>
      <c r="O1026" s="12"/>
      <c r="P1026" s="12"/>
      <c r="Q1026" s="12"/>
      <c r="R1026" s="12">
        <f t="shared" si="50"/>
        <v>0</v>
      </c>
      <c r="S1026" s="12">
        <v>0</v>
      </c>
      <c r="T1026" s="12">
        <v>0</v>
      </c>
      <c r="U1026" s="12">
        <v>0</v>
      </c>
      <c r="V1026" s="12"/>
    </row>
    <row r="1027" spans="1:22">
      <c r="A1027" s="12" t="s">
        <v>233</v>
      </c>
      <c r="B1027" s="12"/>
      <c r="C1027" s="12">
        <v>0</v>
      </c>
      <c r="D1027" s="12"/>
      <c r="E1027" s="12">
        <v>0</v>
      </c>
      <c r="F1027" s="12"/>
      <c r="G1027" s="12"/>
      <c r="H1027" s="12">
        <v>0</v>
      </c>
      <c r="I1027" s="12"/>
      <c r="J1027" s="12"/>
      <c r="K1027" s="12">
        <v>0</v>
      </c>
      <c r="L1027" s="12"/>
      <c r="M1027" s="12"/>
      <c r="N1027" s="12"/>
      <c r="O1027" s="12"/>
      <c r="P1027" s="12"/>
      <c r="Q1027" s="12"/>
      <c r="R1027" s="12">
        <f t="shared" si="50"/>
        <v>0</v>
      </c>
      <c r="S1027" s="12">
        <v>0</v>
      </c>
      <c r="T1027" s="12">
        <v>0</v>
      </c>
      <c r="U1027" s="12">
        <v>0</v>
      </c>
      <c r="V1027" s="12"/>
    </row>
    <row r="1028" spans="1:22">
      <c r="A1028" s="12" t="s">
        <v>234</v>
      </c>
      <c r="B1028" s="12"/>
      <c r="C1028" s="12">
        <v>0</v>
      </c>
      <c r="D1028" s="12"/>
      <c r="E1028" s="12">
        <v>0</v>
      </c>
      <c r="F1028" s="12"/>
      <c r="G1028" s="12"/>
      <c r="H1028" s="12">
        <v>0</v>
      </c>
      <c r="I1028" s="12"/>
      <c r="J1028" s="12"/>
      <c r="K1028" s="12">
        <v>0</v>
      </c>
      <c r="L1028" s="12"/>
      <c r="M1028" s="12"/>
      <c r="N1028" s="12"/>
      <c r="O1028" s="12"/>
      <c r="P1028" s="12"/>
      <c r="Q1028" s="12"/>
      <c r="R1028" s="12">
        <f t="shared" si="50"/>
        <v>0</v>
      </c>
      <c r="S1028" s="12">
        <v>0</v>
      </c>
      <c r="T1028" s="12">
        <v>0</v>
      </c>
      <c r="U1028" s="12">
        <v>0</v>
      </c>
      <c r="V1028" s="12"/>
    </row>
    <row r="1029" spans="1:22">
      <c r="A1029" s="12" t="s">
        <v>739</v>
      </c>
      <c r="B1029" s="12"/>
      <c r="C1029" s="12">
        <v>49500000</v>
      </c>
      <c r="D1029" s="12"/>
      <c r="E1029" s="12">
        <f>-C1029</f>
        <v>-49500000</v>
      </c>
      <c r="F1029" s="12"/>
      <c r="G1029" s="12"/>
      <c r="H1029" s="12">
        <v>0</v>
      </c>
      <c r="I1029" s="12"/>
      <c r="J1029" s="12"/>
      <c r="K1029" s="12">
        <v>0</v>
      </c>
      <c r="L1029" s="12"/>
      <c r="M1029" s="12"/>
      <c r="N1029" s="12"/>
      <c r="O1029" s="12"/>
      <c r="P1029" s="12"/>
      <c r="Q1029" s="12"/>
      <c r="R1029" s="12">
        <f t="shared" si="50"/>
        <v>0</v>
      </c>
      <c r="S1029" s="12">
        <v>0</v>
      </c>
      <c r="T1029" s="12">
        <v>0</v>
      </c>
      <c r="U1029" s="12">
        <v>0</v>
      </c>
      <c r="V1029" s="12"/>
    </row>
    <row r="1030" spans="1:22">
      <c r="A1030" s="12" t="s">
        <v>236</v>
      </c>
      <c r="B1030" s="12"/>
      <c r="C1030" s="12">
        <v>0</v>
      </c>
      <c r="D1030" s="12"/>
      <c r="E1030" s="12">
        <v>0</v>
      </c>
      <c r="F1030" s="12"/>
      <c r="G1030" s="12"/>
      <c r="H1030" s="12">
        <v>0</v>
      </c>
      <c r="I1030" s="12"/>
      <c r="J1030" s="12"/>
      <c r="K1030" s="12">
        <v>0</v>
      </c>
      <c r="L1030" s="12"/>
      <c r="M1030" s="12"/>
      <c r="N1030" s="12"/>
      <c r="O1030" s="12"/>
      <c r="P1030" s="12"/>
      <c r="Q1030" s="12"/>
      <c r="R1030" s="12">
        <f t="shared" si="50"/>
        <v>0</v>
      </c>
      <c r="S1030" s="12">
        <v>0</v>
      </c>
      <c r="T1030" s="12">
        <v>0</v>
      </c>
      <c r="U1030" s="12">
        <v>0</v>
      </c>
      <c r="V1030" s="12"/>
    </row>
    <row r="1031" spans="1:22">
      <c r="A1031" s="12" t="s">
        <v>237</v>
      </c>
      <c r="B1031" s="12"/>
      <c r="C1031" s="12">
        <v>0</v>
      </c>
      <c r="D1031" s="12"/>
      <c r="E1031" s="12">
        <v>0</v>
      </c>
      <c r="F1031" s="12"/>
      <c r="G1031" s="12"/>
      <c r="H1031" s="12">
        <v>0</v>
      </c>
      <c r="I1031" s="12"/>
      <c r="J1031" s="12"/>
      <c r="K1031" s="12">
        <v>0</v>
      </c>
      <c r="L1031" s="12"/>
      <c r="M1031" s="12"/>
      <c r="N1031" s="12"/>
      <c r="O1031" s="12"/>
      <c r="P1031" s="12"/>
      <c r="Q1031" s="12"/>
      <c r="R1031" s="12">
        <f t="shared" si="50"/>
        <v>0</v>
      </c>
      <c r="S1031" s="12">
        <v>0</v>
      </c>
      <c r="T1031" s="12">
        <v>0</v>
      </c>
      <c r="U1031" s="12">
        <v>0</v>
      </c>
      <c r="V1031" s="12"/>
    </row>
    <row r="1032" spans="1:22">
      <c r="A1032" s="12" t="s">
        <v>702</v>
      </c>
      <c r="B1032" s="12">
        <f>223254.5+108652</f>
        <v>331906.5</v>
      </c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>
        <f t="shared" si="50"/>
        <v>331906.5</v>
      </c>
      <c r="S1032" s="12"/>
      <c r="T1032" s="12"/>
      <c r="U1032" s="12"/>
      <c r="V1032" s="12"/>
    </row>
    <row r="1033" spans="1:22">
      <c r="A1033" s="12" t="s">
        <v>238</v>
      </c>
      <c r="B1033" s="12">
        <v>55687.1</v>
      </c>
      <c r="C1033" s="12">
        <v>0</v>
      </c>
      <c r="D1033" s="12"/>
      <c r="E1033" s="12">
        <v>0</v>
      </c>
      <c r="F1033" s="12"/>
      <c r="G1033" s="12"/>
      <c r="H1033" s="12">
        <v>0</v>
      </c>
      <c r="I1033" s="12"/>
      <c r="J1033" s="12"/>
      <c r="K1033" s="12">
        <v>0</v>
      </c>
      <c r="L1033" s="12"/>
      <c r="M1033" s="12"/>
      <c r="N1033" s="12"/>
      <c r="O1033" s="12"/>
      <c r="P1033" s="12"/>
      <c r="Q1033" s="12"/>
      <c r="R1033" s="12">
        <f t="shared" si="50"/>
        <v>55687.1</v>
      </c>
      <c r="S1033" s="12">
        <v>0</v>
      </c>
      <c r="T1033" s="12">
        <v>0</v>
      </c>
      <c r="U1033" s="12">
        <v>0</v>
      </c>
      <c r="V1033" s="12"/>
    </row>
    <row r="1034" spans="1:22">
      <c r="A1034" s="12" t="s">
        <v>239</v>
      </c>
      <c r="B1034" s="12">
        <v>85062</v>
      </c>
      <c r="C1034" s="12">
        <v>0</v>
      </c>
      <c r="D1034" s="12"/>
      <c r="E1034" s="12">
        <v>0</v>
      </c>
      <c r="F1034" s="12"/>
      <c r="G1034" s="12"/>
      <c r="H1034" s="12">
        <v>0</v>
      </c>
      <c r="I1034" s="12"/>
      <c r="J1034" s="12"/>
      <c r="K1034" s="12">
        <v>0</v>
      </c>
      <c r="L1034" s="12"/>
      <c r="M1034" s="12"/>
      <c r="N1034" s="12"/>
      <c r="O1034" s="12"/>
      <c r="P1034" s="12"/>
      <c r="Q1034" s="12"/>
      <c r="R1034" s="12">
        <f t="shared" si="50"/>
        <v>85062</v>
      </c>
      <c r="S1034" s="12">
        <v>0</v>
      </c>
      <c r="T1034" s="12">
        <v>0</v>
      </c>
      <c r="U1034" s="12">
        <v>0</v>
      </c>
      <c r="V1034" s="12"/>
    </row>
    <row r="1035" spans="1:22">
      <c r="A1035" s="76" t="s">
        <v>707</v>
      </c>
      <c r="B1035" s="12">
        <f>42389.45+505106</f>
        <v>547495.44999999995</v>
      </c>
      <c r="C1035" s="12">
        <v>0</v>
      </c>
      <c r="D1035" s="12"/>
      <c r="E1035" s="12">
        <v>0</v>
      </c>
      <c r="F1035" s="12"/>
      <c r="G1035" s="12"/>
      <c r="H1035" s="12">
        <v>0</v>
      </c>
      <c r="I1035" s="12"/>
      <c r="J1035" s="12"/>
      <c r="K1035" s="12">
        <v>0</v>
      </c>
      <c r="L1035" s="12"/>
      <c r="M1035" s="12"/>
      <c r="N1035" s="12"/>
      <c r="O1035" s="12"/>
      <c r="P1035" s="12"/>
      <c r="Q1035" s="12"/>
      <c r="R1035" s="12">
        <f t="shared" si="50"/>
        <v>547495.44999999995</v>
      </c>
      <c r="S1035" s="12">
        <v>0</v>
      </c>
      <c r="T1035" s="12">
        <v>0</v>
      </c>
      <c r="U1035" s="12">
        <v>0</v>
      </c>
      <c r="V1035" s="12"/>
    </row>
    <row r="1036" spans="1:22">
      <c r="A1036" s="76" t="s">
        <v>696</v>
      </c>
      <c r="B1036" s="12">
        <v>127412</v>
      </c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>
        <f t="shared" si="50"/>
        <v>127412</v>
      </c>
      <c r="S1036" s="12"/>
      <c r="T1036" s="12"/>
      <c r="U1036" s="12"/>
      <c r="V1036" s="12"/>
    </row>
    <row r="1037" spans="1:22">
      <c r="A1037" s="12" t="s">
        <v>240</v>
      </c>
      <c r="B1037" s="12"/>
      <c r="C1037" s="12">
        <v>0</v>
      </c>
      <c r="D1037" s="12"/>
      <c r="E1037" s="12">
        <v>0</v>
      </c>
      <c r="F1037" s="12"/>
      <c r="G1037" s="12"/>
      <c r="H1037" s="12">
        <v>0</v>
      </c>
      <c r="I1037" s="12"/>
      <c r="J1037" s="12"/>
      <c r="K1037" s="12">
        <v>0</v>
      </c>
      <c r="L1037" s="12"/>
      <c r="M1037" s="12"/>
      <c r="N1037" s="12"/>
      <c r="O1037" s="12"/>
      <c r="P1037" s="12"/>
      <c r="Q1037" s="12"/>
      <c r="R1037" s="12">
        <f t="shared" si="50"/>
        <v>0</v>
      </c>
      <c r="S1037" s="12">
        <v>0</v>
      </c>
      <c r="T1037" s="12">
        <v>0</v>
      </c>
      <c r="U1037" s="12">
        <v>0</v>
      </c>
      <c r="V1037" s="12"/>
    </row>
    <row r="1038" spans="1:22">
      <c r="A1038" s="12" t="s">
        <v>241</v>
      </c>
      <c r="B1038" s="12"/>
      <c r="C1038" s="12">
        <v>0</v>
      </c>
      <c r="D1038" s="12"/>
      <c r="E1038" s="12">
        <v>0</v>
      </c>
      <c r="F1038" s="12"/>
      <c r="G1038" s="12"/>
      <c r="H1038" s="12">
        <v>0</v>
      </c>
      <c r="I1038" s="12"/>
      <c r="J1038" s="12"/>
      <c r="K1038" s="12">
        <v>0</v>
      </c>
      <c r="L1038" s="12"/>
      <c r="M1038" s="12"/>
      <c r="N1038" s="12"/>
      <c r="O1038" s="12"/>
      <c r="P1038" s="12"/>
      <c r="Q1038" s="12"/>
      <c r="R1038" s="12">
        <f t="shared" si="50"/>
        <v>0</v>
      </c>
      <c r="S1038" s="12">
        <v>0</v>
      </c>
      <c r="T1038" s="12">
        <v>0</v>
      </c>
      <c r="U1038" s="12">
        <v>0</v>
      </c>
      <c r="V1038" s="12"/>
    </row>
    <row r="1039" spans="1:22">
      <c r="A1039" s="12" t="s">
        <v>242</v>
      </c>
      <c r="B1039" s="12"/>
      <c r="C1039" s="12">
        <v>0</v>
      </c>
      <c r="D1039" s="12"/>
      <c r="E1039" s="12">
        <v>0</v>
      </c>
      <c r="F1039" s="12"/>
      <c r="G1039" s="12"/>
      <c r="H1039" s="12">
        <v>0</v>
      </c>
      <c r="I1039" s="12"/>
      <c r="J1039" s="12"/>
      <c r="K1039" s="12">
        <v>0</v>
      </c>
      <c r="L1039" s="12"/>
      <c r="M1039" s="12"/>
      <c r="N1039" s="12"/>
      <c r="O1039" s="12"/>
      <c r="P1039" s="12"/>
      <c r="Q1039" s="12"/>
      <c r="R1039" s="12">
        <f t="shared" si="50"/>
        <v>0</v>
      </c>
      <c r="S1039" s="12">
        <v>0</v>
      </c>
      <c r="T1039" s="12">
        <v>0</v>
      </c>
      <c r="U1039" s="12">
        <v>0</v>
      </c>
      <c r="V1039" s="12"/>
    </row>
    <row r="1040" spans="1:22">
      <c r="A1040" s="12" t="s">
        <v>243</v>
      </c>
      <c r="B1040" s="12"/>
      <c r="C1040" s="12">
        <v>0</v>
      </c>
      <c r="D1040" s="12"/>
      <c r="E1040" s="12">
        <v>0</v>
      </c>
      <c r="F1040" s="12"/>
      <c r="G1040" s="12"/>
      <c r="H1040" s="12">
        <v>0</v>
      </c>
      <c r="I1040" s="12"/>
      <c r="J1040" s="12"/>
      <c r="K1040" s="12">
        <v>0</v>
      </c>
      <c r="L1040" s="12"/>
      <c r="M1040" s="12"/>
      <c r="N1040" s="12"/>
      <c r="O1040" s="12"/>
      <c r="P1040" s="12"/>
      <c r="Q1040" s="12"/>
      <c r="R1040" s="12">
        <f t="shared" si="50"/>
        <v>0</v>
      </c>
      <c r="S1040" s="12">
        <v>0</v>
      </c>
      <c r="T1040" s="12">
        <v>0</v>
      </c>
      <c r="U1040" s="12">
        <v>0</v>
      </c>
      <c r="V1040" s="12"/>
    </row>
    <row r="1041" spans="1:22">
      <c r="A1041" s="12" t="s">
        <v>244</v>
      </c>
      <c r="B1041" s="12"/>
      <c r="C1041" s="12">
        <v>0</v>
      </c>
      <c r="D1041" s="12"/>
      <c r="E1041" s="12">
        <v>0</v>
      </c>
      <c r="F1041" s="12"/>
      <c r="G1041" s="12"/>
      <c r="H1041" s="12">
        <v>0</v>
      </c>
      <c r="I1041" s="12"/>
      <c r="J1041" s="12"/>
      <c r="K1041" s="12">
        <v>0</v>
      </c>
      <c r="L1041" s="12"/>
      <c r="M1041" s="12"/>
      <c r="N1041" s="12"/>
      <c r="O1041" s="12"/>
      <c r="P1041" s="12"/>
      <c r="Q1041" s="12"/>
      <c r="R1041" s="12">
        <f t="shared" si="50"/>
        <v>0</v>
      </c>
      <c r="S1041" s="12">
        <v>0</v>
      </c>
      <c r="T1041" s="12">
        <v>0</v>
      </c>
      <c r="U1041" s="12">
        <v>0</v>
      </c>
      <c r="V1041" s="12"/>
    </row>
    <row r="1042" spans="1:22">
      <c r="A1042" s="12" t="s">
        <v>245</v>
      </c>
      <c r="B1042" s="12"/>
      <c r="C1042" s="12">
        <v>0</v>
      </c>
      <c r="D1042" s="12"/>
      <c r="E1042" s="12">
        <v>0</v>
      </c>
      <c r="F1042" s="12"/>
      <c r="G1042" s="12"/>
      <c r="H1042" s="12">
        <v>0</v>
      </c>
      <c r="I1042" s="12"/>
      <c r="J1042" s="12"/>
      <c r="K1042" s="12">
        <v>0</v>
      </c>
      <c r="L1042" s="12"/>
      <c r="M1042" s="12"/>
      <c r="N1042" s="12"/>
      <c r="O1042" s="12"/>
      <c r="P1042" s="12"/>
      <c r="Q1042" s="12"/>
      <c r="R1042" s="12">
        <f t="shared" si="50"/>
        <v>0</v>
      </c>
      <c r="S1042" s="12">
        <v>0</v>
      </c>
      <c r="T1042" s="12">
        <v>0</v>
      </c>
      <c r="U1042" s="12">
        <v>0</v>
      </c>
      <c r="V1042" s="12"/>
    </row>
    <row r="1043" spans="1:22">
      <c r="A1043" s="12" t="s">
        <v>246</v>
      </c>
      <c r="B1043" s="12">
        <v>18000</v>
      </c>
      <c r="C1043" s="12">
        <v>0</v>
      </c>
      <c r="D1043" s="12"/>
      <c r="E1043" s="12">
        <v>0</v>
      </c>
      <c r="F1043" s="12"/>
      <c r="G1043" s="12"/>
      <c r="H1043" s="12">
        <v>0</v>
      </c>
      <c r="I1043" s="12"/>
      <c r="J1043" s="12"/>
      <c r="K1043" s="12">
        <v>0</v>
      </c>
      <c r="L1043" s="12"/>
      <c r="M1043" s="12"/>
      <c r="N1043" s="12"/>
      <c r="O1043" s="12"/>
      <c r="P1043" s="12"/>
      <c r="Q1043" s="12"/>
      <c r="R1043" s="12">
        <f t="shared" si="50"/>
        <v>18000</v>
      </c>
      <c r="S1043" s="12">
        <v>0</v>
      </c>
      <c r="T1043" s="12">
        <v>0</v>
      </c>
      <c r="U1043" s="12">
        <v>0</v>
      </c>
      <c r="V1043" s="12"/>
    </row>
    <row r="1044" spans="1:22">
      <c r="A1044" s="12" t="s">
        <v>247</v>
      </c>
      <c r="B1044" s="12"/>
      <c r="C1044" s="12">
        <v>0</v>
      </c>
      <c r="D1044" s="12"/>
      <c r="E1044" s="12">
        <v>0</v>
      </c>
      <c r="F1044" s="12"/>
      <c r="G1044" s="12"/>
      <c r="H1044" s="12">
        <v>0</v>
      </c>
      <c r="I1044" s="12"/>
      <c r="J1044" s="12"/>
      <c r="K1044" s="12">
        <v>0</v>
      </c>
      <c r="L1044" s="12"/>
      <c r="M1044" s="12"/>
      <c r="N1044" s="12"/>
      <c r="O1044" s="12"/>
      <c r="P1044" s="12"/>
      <c r="Q1044" s="12"/>
      <c r="R1044" s="12">
        <f t="shared" si="50"/>
        <v>0</v>
      </c>
      <c r="S1044" s="12">
        <v>0</v>
      </c>
      <c r="T1044" s="12">
        <v>0</v>
      </c>
      <c r="U1044" s="12">
        <v>0</v>
      </c>
      <c r="V1044" s="12"/>
    </row>
    <row r="1045" spans="1:22">
      <c r="A1045" s="12" t="s">
        <v>248</v>
      </c>
      <c r="B1045" s="12">
        <f>58366+69176+1250</f>
        <v>128792</v>
      </c>
      <c r="C1045" s="12">
        <v>0</v>
      </c>
      <c r="D1045" s="12"/>
      <c r="E1045" s="12">
        <v>0</v>
      </c>
      <c r="F1045" s="12"/>
      <c r="G1045" s="12"/>
      <c r="H1045" s="12">
        <v>0</v>
      </c>
      <c r="I1045" s="12"/>
      <c r="J1045" s="12"/>
      <c r="K1045" s="12">
        <v>0</v>
      </c>
      <c r="L1045" s="12"/>
      <c r="M1045" s="12"/>
      <c r="N1045" s="12"/>
      <c r="O1045" s="12"/>
      <c r="P1045" s="12"/>
      <c r="Q1045" s="12"/>
      <c r="R1045" s="12">
        <f t="shared" si="50"/>
        <v>128792</v>
      </c>
      <c r="S1045" s="12">
        <v>0</v>
      </c>
      <c r="T1045" s="12">
        <v>0</v>
      </c>
      <c r="U1045" s="12">
        <v>0</v>
      </c>
      <c r="V1045" s="12"/>
    </row>
    <row r="1046" spans="1:22">
      <c r="A1046" s="12" t="s">
        <v>71</v>
      </c>
      <c r="B1046" s="12">
        <f>445285.1+244990.8</f>
        <v>690275.89999999991</v>
      </c>
      <c r="C1046" s="12">
        <v>0</v>
      </c>
      <c r="D1046" s="12"/>
      <c r="E1046" s="12">
        <v>0</v>
      </c>
      <c r="F1046" s="12"/>
      <c r="G1046" s="12"/>
      <c r="H1046" s="12">
        <v>0</v>
      </c>
      <c r="I1046" s="12"/>
      <c r="J1046" s="12"/>
      <c r="K1046" s="12">
        <v>0</v>
      </c>
      <c r="L1046" s="12"/>
      <c r="M1046" s="12"/>
      <c r="N1046" s="12"/>
      <c r="O1046" s="12"/>
      <c r="P1046" s="12"/>
      <c r="Q1046" s="12"/>
      <c r="R1046" s="12">
        <f t="shared" si="50"/>
        <v>690275.89999999991</v>
      </c>
      <c r="S1046" s="12">
        <v>0</v>
      </c>
      <c r="T1046" s="12">
        <v>0</v>
      </c>
      <c r="U1046" s="12">
        <v>0</v>
      </c>
      <c r="V1046" s="12"/>
    </row>
    <row r="1047" spans="1:22">
      <c r="A1047" s="12" t="s">
        <v>701</v>
      </c>
      <c r="B1047" s="12">
        <f>430953.1+20513+81123</f>
        <v>532589.1</v>
      </c>
      <c r="C1047" s="12"/>
      <c r="D1047" s="12"/>
      <c r="E1047" s="12"/>
      <c r="F1047" s="12"/>
      <c r="G1047" s="12"/>
      <c r="H1047" s="12"/>
      <c r="I1047" s="12"/>
      <c r="J1047" s="12"/>
      <c r="K1047" s="12"/>
      <c r="L1047" s="12">
        <v>-430953.1</v>
      </c>
      <c r="M1047" s="12"/>
      <c r="N1047" s="12"/>
      <c r="O1047" s="12"/>
      <c r="P1047" s="12"/>
      <c r="Q1047" s="12"/>
      <c r="R1047" s="12">
        <f t="shared" si="50"/>
        <v>101636</v>
      </c>
      <c r="S1047" s="12"/>
      <c r="T1047" s="12"/>
      <c r="U1047" s="12"/>
      <c r="V1047" s="12"/>
    </row>
    <row r="1048" spans="1:22">
      <c r="A1048" s="12" t="s">
        <v>710</v>
      </c>
      <c r="B1048" s="12">
        <v>4</v>
      </c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>
        <f t="shared" si="50"/>
        <v>4</v>
      </c>
      <c r="S1048" s="12"/>
      <c r="T1048" s="12"/>
      <c r="U1048" s="12"/>
      <c r="V1048" s="12"/>
    </row>
    <row r="1049" spans="1:22">
      <c r="A1049" s="12" t="s">
        <v>709</v>
      </c>
      <c r="B1049" s="12">
        <v>2088237</v>
      </c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>
        <f t="shared" si="50"/>
        <v>2088237</v>
      </c>
      <c r="S1049" s="12"/>
      <c r="T1049" s="12"/>
      <c r="U1049" s="12"/>
      <c r="V1049" s="12"/>
    </row>
    <row r="1050" spans="1:22">
      <c r="A1050" s="12" t="s">
        <v>72</v>
      </c>
      <c r="B1050" s="12"/>
      <c r="C1050" s="12">
        <v>0</v>
      </c>
      <c r="D1050" s="12"/>
      <c r="E1050" s="12">
        <v>0</v>
      </c>
      <c r="F1050" s="12"/>
      <c r="G1050" s="12"/>
      <c r="H1050" s="12">
        <v>0</v>
      </c>
      <c r="I1050" s="12"/>
      <c r="J1050" s="12"/>
      <c r="K1050" s="12">
        <v>0</v>
      </c>
      <c r="L1050" s="12"/>
      <c r="M1050" s="12"/>
      <c r="N1050" s="12"/>
      <c r="O1050" s="12"/>
      <c r="P1050" s="12"/>
      <c r="Q1050" s="12"/>
      <c r="R1050" s="12">
        <f t="shared" si="50"/>
        <v>0</v>
      </c>
      <c r="S1050" s="12">
        <v>0</v>
      </c>
      <c r="T1050" s="12">
        <v>0</v>
      </c>
      <c r="U1050" s="12">
        <v>0</v>
      </c>
      <c r="V1050" s="12"/>
    </row>
    <row r="1051" spans="1:22">
      <c r="A1051" s="12" t="s">
        <v>78</v>
      </c>
      <c r="B1051" s="12">
        <v>2</v>
      </c>
      <c r="C1051" s="12">
        <v>0</v>
      </c>
      <c r="D1051" s="12"/>
      <c r="E1051" s="12">
        <v>0</v>
      </c>
      <c r="F1051" s="12"/>
      <c r="G1051" s="12"/>
      <c r="H1051" s="12">
        <v>0</v>
      </c>
      <c r="I1051" s="12"/>
      <c r="J1051" s="12"/>
      <c r="K1051" s="12">
        <v>0</v>
      </c>
      <c r="L1051" s="12"/>
      <c r="M1051" s="12"/>
      <c r="N1051" s="12"/>
      <c r="O1051" s="12"/>
      <c r="P1051" s="12"/>
      <c r="Q1051" s="12"/>
      <c r="R1051" s="12">
        <f t="shared" si="50"/>
        <v>2</v>
      </c>
      <c r="S1051" s="12">
        <v>0</v>
      </c>
      <c r="T1051" s="12">
        <v>0</v>
      </c>
      <c r="U1051" s="12">
        <v>0</v>
      </c>
      <c r="V1051" s="12"/>
    </row>
    <row r="1052" spans="1:22">
      <c r="A1052" s="12" t="s">
        <v>77</v>
      </c>
      <c r="B1052" s="12">
        <v>618755</v>
      </c>
      <c r="C1052" s="12">
        <v>0</v>
      </c>
      <c r="D1052" s="12"/>
      <c r="E1052" s="12">
        <v>-53049</v>
      </c>
      <c r="F1052" s="12"/>
      <c r="G1052" s="12"/>
      <c r="H1052" s="12">
        <v>0</v>
      </c>
      <c r="I1052" s="12"/>
      <c r="J1052" s="12"/>
      <c r="K1052" s="12">
        <v>0</v>
      </c>
      <c r="L1052" s="12"/>
      <c r="M1052" s="12"/>
      <c r="N1052" s="12"/>
      <c r="O1052" s="12"/>
      <c r="P1052" s="12"/>
      <c r="Q1052" s="12"/>
      <c r="R1052" s="12">
        <f t="shared" si="50"/>
        <v>565706</v>
      </c>
      <c r="S1052" s="12">
        <v>0</v>
      </c>
      <c r="T1052" s="12">
        <v>0</v>
      </c>
      <c r="U1052" s="12">
        <v>0</v>
      </c>
      <c r="V1052" s="12"/>
    </row>
    <row r="1053" spans="1:22">
      <c r="A1053" s="12" t="s">
        <v>73</v>
      </c>
      <c r="B1053" s="12">
        <v>1155864</v>
      </c>
      <c r="C1053" s="12">
        <v>0</v>
      </c>
      <c r="D1053" s="12"/>
      <c r="E1053" s="12">
        <v>0</v>
      </c>
      <c r="F1053" s="12"/>
      <c r="G1053" s="12"/>
      <c r="H1053" s="12">
        <v>0</v>
      </c>
      <c r="I1053" s="12"/>
      <c r="J1053" s="12"/>
      <c r="K1053" s="12">
        <v>0</v>
      </c>
      <c r="L1053" s="12">
        <v>-1155864</v>
      </c>
      <c r="M1053" s="12"/>
      <c r="N1053" s="12"/>
      <c r="O1053" s="12"/>
      <c r="P1053" s="12"/>
      <c r="Q1053" s="12"/>
      <c r="R1053" s="12">
        <f t="shared" si="50"/>
        <v>0</v>
      </c>
      <c r="S1053" s="12">
        <v>0</v>
      </c>
      <c r="T1053" s="12">
        <v>0</v>
      </c>
      <c r="U1053" s="12">
        <v>0</v>
      </c>
      <c r="V1053" s="12"/>
    </row>
    <row r="1054" spans="1:22">
      <c r="A1054" s="12" t="s">
        <v>620</v>
      </c>
      <c r="B1054" s="12"/>
      <c r="C1054" s="12">
        <v>0</v>
      </c>
      <c r="D1054" s="12"/>
      <c r="E1054" s="12">
        <v>0</v>
      </c>
      <c r="F1054" s="12"/>
      <c r="G1054" s="12"/>
      <c r="H1054" s="12">
        <v>0</v>
      </c>
      <c r="I1054" s="12"/>
      <c r="J1054" s="12"/>
      <c r="K1054" s="12">
        <v>0</v>
      </c>
      <c r="L1054" s="12"/>
      <c r="M1054" s="12"/>
      <c r="N1054" s="12"/>
      <c r="O1054" s="12"/>
      <c r="P1054" s="12"/>
      <c r="Q1054" s="12"/>
      <c r="R1054" s="12">
        <f t="shared" si="50"/>
        <v>0</v>
      </c>
      <c r="S1054" s="12">
        <v>0</v>
      </c>
      <c r="T1054" s="12">
        <v>0</v>
      </c>
      <c r="U1054" s="12">
        <v>0</v>
      </c>
      <c r="V1054" s="12"/>
    </row>
    <row r="1055" spans="1:22">
      <c r="A1055" s="12" t="s">
        <v>711</v>
      </c>
      <c r="B1055" s="12">
        <v>34283.050000000003</v>
      </c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>
        <f t="shared" si="50"/>
        <v>34283.050000000003</v>
      </c>
      <c r="S1055" s="12"/>
      <c r="T1055" s="12"/>
      <c r="U1055" s="12"/>
      <c r="V1055" s="12"/>
    </row>
    <row r="1056" spans="1:22">
      <c r="A1056" s="12" t="s">
        <v>743</v>
      </c>
      <c r="B1056" s="12"/>
      <c r="C1056" s="12">
        <v>7374400</v>
      </c>
      <c r="D1056" s="12"/>
      <c r="E1056" s="12">
        <f>-C1056</f>
        <v>-7374400</v>
      </c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>
        <f t="shared" si="50"/>
        <v>0</v>
      </c>
      <c r="S1056" s="12"/>
      <c r="T1056" s="12"/>
      <c r="U1056" s="12"/>
      <c r="V1056" s="12"/>
    </row>
    <row r="1057" spans="1:22">
      <c r="A1057" s="12" t="s">
        <v>746</v>
      </c>
      <c r="B1057" s="12"/>
      <c r="C1057" s="12"/>
      <c r="D1057" s="12"/>
      <c r="E1057" s="12">
        <v>-40000000</v>
      </c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>
        <f t="shared" si="50"/>
        <v>-40000000</v>
      </c>
      <c r="S1057" s="12"/>
      <c r="T1057" s="12"/>
      <c r="U1057" s="12"/>
      <c r="V1057" s="12"/>
    </row>
    <row r="1058" spans="1:22">
      <c r="A1058" s="12" t="s">
        <v>747</v>
      </c>
      <c r="B1058" s="12"/>
      <c r="C1058" s="12"/>
      <c r="D1058" s="12"/>
      <c r="E1058" s="12">
        <v>-1393000</v>
      </c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>
        <f t="shared" si="50"/>
        <v>-1393000</v>
      </c>
      <c r="S1058" s="12"/>
      <c r="T1058" s="12"/>
      <c r="U1058" s="12"/>
      <c r="V1058" s="12"/>
    </row>
    <row r="1059" spans="1:22">
      <c r="A1059" s="12" t="s">
        <v>749</v>
      </c>
      <c r="B1059" s="12"/>
      <c r="C1059" s="12">
        <v>9470967.5600000005</v>
      </c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>
        <f t="shared" si="50"/>
        <v>9470967.5600000005</v>
      </c>
      <c r="S1059" s="12"/>
      <c r="T1059" s="12"/>
      <c r="U1059" s="12"/>
      <c r="V1059" s="12"/>
    </row>
    <row r="1060" spans="1:22">
      <c r="A1060" s="12" t="s">
        <v>225</v>
      </c>
      <c r="B1060" s="12">
        <v>-4320225</v>
      </c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>
        <f t="shared" si="50"/>
        <v>-4320225</v>
      </c>
      <c r="S1060" s="12"/>
      <c r="T1060" s="12"/>
      <c r="U1060" s="12"/>
      <c r="V1060" s="12"/>
    </row>
    <row r="1061" spans="1:22">
      <c r="A1061" s="12" t="s">
        <v>750</v>
      </c>
      <c r="B1061" s="12">
        <v>-8040000</v>
      </c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>
        <f t="shared" si="50"/>
        <v>-8040000</v>
      </c>
      <c r="S1061" s="12"/>
      <c r="T1061" s="12"/>
      <c r="U1061" s="12"/>
      <c r="V1061" s="12"/>
    </row>
    <row r="1062" spans="1:22">
      <c r="A1062" s="12" t="s">
        <v>751</v>
      </c>
      <c r="B1062" s="12"/>
      <c r="C1062" s="12"/>
      <c r="D1062" s="12"/>
      <c r="E1062" s="12">
        <v>-516060</v>
      </c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>
        <f t="shared" si="50"/>
        <v>-516060</v>
      </c>
      <c r="S1062" s="12"/>
      <c r="T1062" s="12"/>
      <c r="U1062" s="12"/>
      <c r="V1062" s="12"/>
    </row>
    <row r="1063" spans="1:22">
      <c r="A1063" s="12" t="s">
        <v>74</v>
      </c>
      <c r="B1063" s="12"/>
      <c r="C1063" s="12">
        <v>0</v>
      </c>
      <c r="D1063" s="12"/>
      <c r="E1063" s="12">
        <v>0</v>
      </c>
      <c r="F1063" s="12"/>
      <c r="G1063" s="12"/>
      <c r="H1063" s="12">
        <v>0</v>
      </c>
      <c r="I1063" s="12"/>
      <c r="J1063" s="12"/>
      <c r="K1063" s="12">
        <v>0</v>
      </c>
      <c r="L1063" s="12"/>
      <c r="M1063" s="12"/>
      <c r="N1063" s="12"/>
      <c r="O1063" s="12"/>
      <c r="P1063" s="12"/>
      <c r="Q1063" s="12"/>
      <c r="R1063" s="12">
        <f t="shared" si="50"/>
        <v>0</v>
      </c>
      <c r="S1063" s="12">
        <v>0</v>
      </c>
      <c r="T1063" s="12">
        <v>0</v>
      </c>
      <c r="U1063" s="12">
        <v>0</v>
      </c>
      <c r="V1063" s="12"/>
    </row>
    <row r="1064" spans="1:22">
      <c r="A1064" s="12" t="s">
        <v>735</v>
      </c>
      <c r="B1064" s="12">
        <v>106031</v>
      </c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>
        <f t="shared" si="50"/>
        <v>106031</v>
      </c>
      <c r="S1064" s="12"/>
      <c r="T1064" s="12"/>
      <c r="U1064" s="12"/>
      <c r="V1064" s="12"/>
    </row>
    <row r="1065" spans="1:22">
      <c r="A1065" s="12" t="s">
        <v>527</v>
      </c>
      <c r="B1065" s="12">
        <v>-1500000</v>
      </c>
      <c r="C1065" s="12">
        <v>5000000</v>
      </c>
      <c r="D1065" s="12"/>
      <c r="E1065" s="12">
        <v>-30000000</v>
      </c>
      <c r="F1065" s="12"/>
      <c r="G1065" s="12"/>
      <c r="H1065" s="12">
        <v>0</v>
      </c>
      <c r="I1065" s="12"/>
      <c r="J1065" s="12"/>
      <c r="K1065" s="12">
        <v>0</v>
      </c>
      <c r="L1065" s="12"/>
      <c r="M1065" s="12"/>
      <c r="N1065" s="12"/>
      <c r="O1065" s="12"/>
      <c r="P1065" s="12"/>
      <c r="Q1065" s="12"/>
      <c r="R1065" s="12">
        <f t="shared" si="50"/>
        <v>-26500000</v>
      </c>
      <c r="S1065" s="12">
        <v>0</v>
      </c>
      <c r="T1065" s="12">
        <v>0</v>
      </c>
      <c r="U1065" s="12">
        <v>0</v>
      </c>
      <c r="V1065" s="12"/>
    </row>
    <row r="1066" spans="1:22">
      <c r="A1066" s="12" t="s">
        <v>75</v>
      </c>
      <c r="B1066" s="12">
        <f>60164+27518437</f>
        <v>27578601</v>
      </c>
      <c r="C1066" s="12">
        <v>0</v>
      </c>
      <c r="D1066" s="12"/>
      <c r="E1066" s="12">
        <v>0</v>
      </c>
      <c r="F1066" s="12"/>
      <c r="G1066" s="12"/>
      <c r="H1066" s="12">
        <v>0</v>
      </c>
      <c r="I1066" s="12"/>
      <c r="J1066" s="12"/>
      <c r="K1066" s="12">
        <v>0</v>
      </c>
      <c r="L1066" s="12"/>
      <c r="M1066" s="12"/>
      <c r="N1066" s="12"/>
      <c r="O1066" s="12"/>
      <c r="P1066" s="12"/>
      <c r="Q1066" s="12"/>
      <c r="R1066" s="12">
        <f t="shared" si="50"/>
        <v>27578601</v>
      </c>
      <c r="S1066" s="12">
        <v>0</v>
      </c>
      <c r="T1066" s="12">
        <v>0</v>
      </c>
      <c r="U1066" s="12">
        <v>0</v>
      </c>
      <c r="V1066" s="12"/>
    </row>
    <row r="1067" spans="1:22">
      <c r="A1067" s="12" t="s">
        <v>76</v>
      </c>
      <c r="B1067" s="12">
        <v>412345</v>
      </c>
      <c r="C1067" s="12">
        <v>0</v>
      </c>
      <c r="D1067" s="12"/>
      <c r="E1067" s="12">
        <v>0</v>
      </c>
      <c r="F1067" s="12"/>
      <c r="G1067" s="12"/>
      <c r="H1067" s="12">
        <v>0</v>
      </c>
      <c r="I1067" s="12"/>
      <c r="J1067" s="12"/>
      <c r="K1067" s="12">
        <v>0</v>
      </c>
      <c r="L1067" s="12"/>
      <c r="M1067" s="12"/>
      <c r="N1067" s="12"/>
      <c r="O1067" s="12"/>
      <c r="P1067" s="12"/>
      <c r="Q1067" s="12"/>
      <c r="R1067" s="12">
        <f t="shared" si="50"/>
        <v>412345</v>
      </c>
      <c r="S1067" s="12">
        <v>0</v>
      </c>
      <c r="T1067" s="12">
        <v>0</v>
      </c>
      <c r="U1067" s="12">
        <v>0</v>
      </c>
      <c r="V1067" s="12"/>
    </row>
    <row r="1068" spans="1:22">
      <c r="A1068" s="12" t="s">
        <v>520</v>
      </c>
      <c r="B1068" s="12">
        <v>3055671</v>
      </c>
      <c r="C1068" s="12">
        <v>32465052</v>
      </c>
      <c r="D1068" s="12"/>
      <c r="E1068" s="12">
        <v>-35270000</v>
      </c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>
        <f t="shared" si="50"/>
        <v>250723</v>
      </c>
      <c r="S1068" s="12"/>
      <c r="T1068" s="12"/>
      <c r="U1068" s="12"/>
      <c r="V1068" s="12"/>
    </row>
    <row r="1069" spans="1:22">
      <c r="A1069" s="12" t="s">
        <v>753</v>
      </c>
      <c r="B1069" s="12">
        <v>-250000000</v>
      </c>
      <c r="C1069" s="12">
        <f>-B1069</f>
        <v>250000000</v>
      </c>
      <c r="D1069" s="12"/>
      <c r="E1069" s="12">
        <v>0</v>
      </c>
      <c r="F1069" s="12"/>
      <c r="G1069" s="12"/>
      <c r="H1069" s="12">
        <v>0</v>
      </c>
      <c r="I1069" s="12"/>
      <c r="J1069" s="12"/>
      <c r="K1069" s="12">
        <v>0</v>
      </c>
      <c r="L1069" s="12"/>
      <c r="M1069" s="12"/>
      <c r="N1069" s="12"/>
      <c r="O1069" s="12"/>
      <c r="P1069" s="12"/>
      <c r="Q1069" s="12"/>
      <c r="R1069" s="12">
        <f t="shared" si="50"/>
        <v>0</v>
      </c>
      <c r="S1069" s="12">
        <v>0</v>
      </c>
      <c r="T1069" s="12">
        <v>0</v>
      </c>
      <c r="U1069" s="12">
        <v>0</v>
      </c>
      <c r="V1069" s="12"/>
    </row>
    <row r="1070" spans="1:22">
      <c r="A1070" s="12" t="s">
        <v>77</v>
      </c>
      <c r="B1070" s="12"/>
      <c r="C1070" s="12">
        <v>0</v>
      </c>
      <c r="D1070" s="12"/>
      <c r="E1070" s="12">
        <v>0</v>
      </c>
      <c r="F1070" s="12"/>
      <c r="G1070" s="12"/>
      <c r="H1070" s="12">
        <v>0</v>
      </c>
      <c r="I1070" s="12"/>
      <c r="J1070" s="12"/>
      <c r="K1070" s="12">
        <v>0</v>
      </c>
      <c r="L1070" s="12"/>
      <c r="M1070" s="12"/>
      <c r="N1070" s="12"/>
      <c r="O1070" s="12"/>
      <c r="P1070" s="12"/>
      <c r="Q1070" s="12"/>
      <c r="R1070" s="12">
        <f t="shared" si="50"/>
        <v>0</v>
      </c>
      <c r="S1070" s="12">
        <v>0</v>
      </c>
      <c r="T1070" s="12">
        <v>0</v>
      </c>
      <c r="U1070" s="12">
        <v>0</v>
      </c>
      <c r="V1070" s="12"/>
    </row>
    <row r="1071" spans="1:22">
      <c r="A1071" s="12" t="s">
        <v>734</v>
      </c>
      <c r="B1071" s="12">
        <v>759325</v>
      </c>
      <c r="C1071" s="12">
        <v>74914</v>
      </c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>
        <f t="shared" si="50"/>
        <v>834239</v>
      </c>
      <c r="S1071" s="12"/>
      <c r="T1071" s="12"/>
      <c r="U1071" s="12"/>
      <c r="V1071" s="12"/>
    </row>
    <row r="1072" spans="1:22">
      <c r="A1072" s="12" t="s">
        <v>78</v>
      </c>
      <c r="B1072" s="12">
        <f>79894.65+24277</f>
        <v>104171.65</v>
      </c>
      <c r="C1072" s="12">
        <v>0</v>
      </c>
      <c r="D1072" s="12"/>
      <c r="E1072" s="12">
        <v>0</v>
      </c>
      <c r="F1072" s="12"/>
      <c r="G1072" s="12"/>
      <c r="H1072" s="12">
        <v>0</v>
      </c>
      <c r="I1072" s="12"/>
      <c r="J1072" s="12"/>
      <c r="K1072" s="12">
        <v>0</v>
      </c>
      <c r="L1072" s="12"/>
      <c r="M1072" s="12"/>
      <c r="N1072" s="12"/>
      <c r="O1072" s="12"/>
      <c r="P1072" s="12"/>
      <c r="Q1072" s="12"/>
      <c r="R1072" s="12">
        <f t="shared" si="50"/>
        <v>104171.65</v>
      </c>
      <c r="S1072" s="12">
        <v>0</v>
      </c>
      <c r="T1072" s="12">
        <v>0</v>
      </c>
      <c r="U1072" s="12">
        <v>0</v>
      </c>
      <c r="V1072" s="12"/>
    </row>
    <row r="1073" spans="1:22">
      <c r="A1073" s="12" t="s">
        <v>708</v>
      </c>
      <c r="B1073" s="12">
        <v>73207</v>
      </c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>
        <f t="shared" si="50"/>
        <v>73207</v>
      </c>
      <c r="S1073" s="12"/>
      <c r="T1073" s="12"/>
      <c r="U1073" s="12"/>
      <c r="V1073" s="12"/>
    </row>
    <row r="1074" spans="1:22">
      <c r="A1074" s="12" t="s">
        <v>606</v>
      </c>
      <c r="B1074" s="12">
        <v>-859141</v>
      </c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>
        <f t="shared" si="50"/>
        <v>-859141</v>
      </c>
      <c r="S1074" s="12"/>
      <c r="T1074" s="12"/>
      <c r="U1074" s="12"/>
      <c r="V1074" s="12"/>
    </row>
    <row r="1075" spans="1:22">
      <c r="A1075" s="12" t="s">
        <v>740</v>
      </c>
      <c r="B1075" s="12">
        <v>603110</v>
      </c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>
        <f t="shared" si="50"/>
        <v>603110</v>
      </c>
      <c r="S1075" s="12"/>
      <c r="T1075" s="12"/>
      <c r="U1075" s="12"/>
      <c r="V1075" s="12"/>
    </row>
    <row r="1076" spans="1:22">
      <c r="A1076" s="12" t="s">
        <v>754</v>
      </c>
      <c r="B1076" s="12"/>
      <c r="C1076" s="12">
        <v>2923611</v>
      </c>
      <c r="D1076" s="12"/>
      <c r="E1076" s="12">
        <f>-C1076</f>
        <v>-2923611</v>
      </c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>
        <f t="shared" si="50"/>
        <v>0</v>
      </c>
      <c r="S1076" s="12"/>
      <c r="T1076" s="12"/>
      <c r="U1076" s="12"/>
      <c r="V1076" s="12"/>
    </row>
    <row r="1077" spans="1:22">
      <c r="A1077" s="12" t="s">
        <v>755</v>
      </c>
      <c r="B1077" s="12"/>
      <c r="C1077" s="12">
        <v>347500000</v>
      </c>
      <c r="D1077" s="12"/>
      <c r="E1077" s="12">
        <f>-C1077</f>
        <v>-347500000</v>
      </c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>
        <f t="shared" si="50"/>
        <v>0</v>
      </c>
      <c r="S1077" s="12"/>
      <c r="T1077" s="12"/>
      <c r="U1077" s="12"/>
      <c r="V1077" s="12"/>
    </row>
    <row r="1078" spans="1:22">
      <c r="A1078" s="12" t="s">
        <v>756</v>
      </c>
      <c r="B1078" s="12"/>
      <c r="C1078" s="12">
        <v>247449</v>
      </c>
      <c r="D1078" s="12"/>
      <c r="E1078" s="12">
        <v>-500000</v>
      </c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>
        <f t="shared" si="50"/>
        <v>-252551</v>
      </c>
      <c r="S1078" s="12"/>
      <c r="T1078" s="12"/>
      <c r="U1078" s="12"/>
      <c r="V1078" s="12"/>
    </row>
    <row r="1079" spans="1:22">
      <c r="A1079" s="12" t="s">
        <v>39</v>
      </c>
      <c r="B1079" s="12">
        <v>2056857</v>
      </c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>
        <f t="shared" si="50"/>
        <v>2056857</v>
      </c>
      <c r="S1079" s="12"/>
      <c r="T1079" s="12"/>
      <c r="U1079" s="12"/>
      <c r="V1079" s="12"/>
    </row>
    <row r="1080" spans="1:22">
      <c r="A1080" s="12" t="s">
        <v>741</v>
      </c>
      <c r="B1080" s="12"/>
      <c r="C1080" s="12"/>
      <c r="D1080" s="12"/>
      <c r="E1080" s="12">
        <v>-9682000</v>
      </c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>
        <f t="shared" si="50"/>
        <v>-9682000</v>
      </c>
      <c r="S1080" s="12"/>
      <c r="T1080" s="12"/>
      <c r="U1080" s="12"/>
      <c r="V1080" s="12"/>
    </row>
    <row r="1081" spans="1:22">
      <c r="A1081" s="12" t="s">
        <v>742</v>
      </c>
      <c r="B1081" s="12">
        <v>-10000000</v>
      </c>
      <c r="C1081" s="12">
        <v>35270000</v>
      </c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>
        <f t="shared" si="50"/>
        <v>25270000</v>
      </c>
      <c r="S1081" s="12"/>
      <c r="T1081" s="12"/>
      <c r="U1081" s="12"/>
      <c r="V1081" s="12"/>
    </row>
    <row r="1082" spans="1:22">
      <c r="A1082" s="12" t="s">
        <v>508</v>
      </c>
      <c r="B1082" s="12">
        <v>224370</v>
      </c>
      <c r="C1082" s="12">
        <v>0</v>
      </c>
      <c r="D1082" s="12"/>
      <c r="E1082" s="12">
        <v>0</v>
      </c>
      <c r="F1082" s="12"/>
      <c r="G1082" s="12"/>
      <c r="H1082" s="12">
        <v>0</v>
      </c>
      <c r="I1082" s="12"/>
      <c r="J1082" s="12"/>
      <c r="K1082" s="12">
        <v>0</v>
      </c>
      <c r="L1082" s="12"/>
      <c r="M1082" s="12"/>
      <c r="N1082" s="12"/>
      <c r="O1082" s="12"/>
      <c r="P1082" s="12"/>
      <c r="Q1082" s="12"/>
      <c r="R1082" s="12">
        <f t="shared" si="50"/>
        <v>224370</v>
      </c>
      <c r="S1082" s="12">
        <v>0</v>
      </c>
      <c r="T1082" s="12">
        <v>0</v>
      </c>
      <c r="U1082" s="12">
        <v>0</v>
      </c>
      <c r="V1082" s="12"/>
    </row>
    <row r="1083" spans="1:22">
      <c r="A1083" s="12" t="s">
        <v>621</v>
      </c>
      <c r="B1083" s="12">
        <v>5693932</v>
      </c>
      <c r="C1083" s="12">
        <v>161000000</v>
      </c>
      <c r="D1083" s="12"/>
      <c r="E1083" s="12">
        <v>-290000000</v>
      </c>
      <c r="F1083" s="12"/>
      <c r="G1083" s="12"/>
      <c r="H1083" s="12">
        <v>0</v>
      </c>
      <c r="I1083" s="12"/>
      <c r="J1083" s="12"/>
      <c r="K1083" s="12">
        <v>0</v>
      </c>
      <c r="L1083" s="12"/>
      <c r="M1083" s="12"/>
      <c r="N1083" s="12"/>
      <c r="O1083" s="12"/>
      <c r="P1083" s="12"/>
      <c r="Q1083" s="12"/>
      <c r="R1083" s="12">
        <f t="shared" si="50"/>
        <v>-123306068</v>
      </c>
      <c r="S1083" s="12">
        <v>0</v>
      </c>
      <c r="T1083" s="12">
        <v>0</v>
      </c>
      <c r="U1083" s="12">
        <v>0</v>
      </c>
      <c r="V1083" s="12"/>
    </row>
    <row r="1084" spans="1:22">
      <c r="A1084" s="12" t="s">
        <v>441</v>
      </c>
      <c r="B1084" s="12">
        <v>4510196</v>
      </c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>
        <f t="shared" ref="R1084:R1099" si="51">SUM(B1084:Q1084)</f>
        <v>4510196</v>
      </c>
      <c r="S1084" s="12"/>
      <c r="T1084" s="12"/>
      <c r="U1084" s="12"/>
      <c r="V1084" s="12"/>
    </row>
    <row r="1085" spans="1:22">
      <c r="A1085" s="12" t="s">
        <v>79</v>
      </c>
      <c r="B1085" s="12">
        <v>375710</v>
      </c>
      <c r="C1085" s="12">
        <v>0</v>
      </c>
      <c r="D1085" s="12"/>
      <c r="E1085" s="12">
        <v>0</v>
      </c>
      <c r="F1085" s="12"/>
      <c r="G1085" s="12"/>
      <c r="H1085" s="12">
        <v>0</v>
      </c>
      <c r="I1085" s="12"/>
      <c r="J1085" s="12"/>
      <c r="K1085" s="12">
        <v>0</v>
      </c>
      <c r="L1085" s="12"/>
      <c r="M1085" s="12"/>
      <c r="N1085" s="12"/>
      <c r="O1085" s="12"/>
      <c r="P1085" s="12"/>
      <c r="Q1085" s="12"/>
      <c r="R1085" s="12">
        <f t="shared" si="51"/>
        <v>375710</v>
      </c>
      <c r="S1085" s="12">
        <v>0</v>
      </c>
      <c r="T1085" s="12">
        <v>0</v>
      </c>
      <c r="U1085" s="12">
        <v>0</v>
      </c>
      <c r="V1085" s="12"/>
    </row>
    <row r="1086" spans="1:22">
      <c r="A1086" s="12" t="s">
        <v>528</v>
      </c>
      <c r="B1086" s="12">
        <v>13797</v>
      </c>
      <c r="C1086" s="12">
        <v>0</v>
      </c>
      <c r="D1086" s="12"/>
      <c r="E1086" s="12">
        <v>0</v>
      </c>
      <c r="F1086" s="12"/>
      <c r="G1086" s="12"/>
      <c r="H1086" s="12">
        <v>0</v>
      </c>
      <c r="I1086" s="12"/>
      <c r="J1086" s="12"/>
      <c r="K1086" s="12">
        <v>0</v>
      </c>
      <c r="L1086" s="12"/>
      <c r="M1086" s="12"/>
      <c r="N1086" s="12"/>
      <c r="O1086" s="12"/>
      <c r="P1086" s="12"/>
      <c r="Q1086" s="12"/>
      <c r="R1086" s="12">
        <f t="shared" si="51"/>
        <v>13797</v>
      </c>
      <c r="S1086" s="12">
        <v>0</v>
      </c>
      <c r="T1086" s="12">
        <v>0</v>
      </c>
      <c r="U1086" s="12">
        <v>0</v>
      </c>
      <c r="V1086" s="12"/>
    </row>
    <row r="1087" spans="1:22">
      <c r="A1087" s="12" t="s">
        <v>712</v>
      </c>
      <c r="B1087" s="12">
        <v>69053</v>
      </c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>
        <f t="shared" si="51"/>
        <v>69053</v>
      </c>
      <c r="S1087" s="12"/>
      <c r="T1087" s="12"/>
      <c r="U1087" s="12"/>
      <c r="V1087" s="12"/>
    </row>
    <row r="1088" spans="1:22">
      <c r="A1088" s="12" t="s">
        <v>736</v>
      </c>
      <c r="B1088" s="12">
        <v>-180841800</v>
      </c>
      <c r="C1088" s="12">
        <f>180841800+180841800</f>
        <v>361683600</v>
      </c>
      <c r="D1088" s="12"/>
      <c r="E1088" s="12">
        <v>-180841800</v>
      </c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>
        <f t="shared" si="51"/>
        <v>0</v>
      </c>
      <c r="S1088" s="12"/>
      <c r="T1088" s="12"/>
      <c r="U1088" s="12"/>
      <c r="V1088" s="12"/>
    </row>
    <row r="1089" spans="1:22">
      <c r="A1089" s="12" t="s">
        <v>748</v>
      </c>
      <c r="B1089" s="12">
        <v>37826537</v>
      </c>
      <c r="C1089" s="12">
        <v>0</v>
      </c>
      <c r="D1089" s="12"/>
      <c r="E1089" s="12">
        <v>0</v>
      </c>
      <c r="F1089" s="12"/>
      <c r="G1089" s="12"/>
      <c r="H1089" s="12">
        <v>0</v>
      </c>
      <c r="I1089" s="12"/>
      <c r="J1089" s="12"/>
      <c r="K1089" s="12">
        <v>0</v>
      </c>
      <c r="L1089" s="12"/>
      <c r="M1089" s="12"/>
      <c r="N1089" s="12"/>
      <c r="O1089" s="12"/>
      <c r="P1089" s="12"/>
      <c r="Q1089" s="12"/>
      <c r="R1089" s="12">
        <f t="shared" si="51"/>
        <v>37826537</v>
      </c>
      <c r="S1089" s="12">
        <v>0</v>
      </c>
      <c r="T1089" s="12">
        <v>0</v>
      </c>
      <c r="U1089" s="12">
        <v>0</v>
      </c>
      <c r="V1089" s="12"/>
    </row>
    <row r="1090" spans="1:22">
      <c r="A1090" s="12" t="s">
        <v>716</v>
      </c>
      <c r="B1090" s="12">
        <v>468</v>
      </c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>
        <f t="shared" si="51"/>
        <v>468</v>
      </c>
      <c r="S1090" s="12"/>
      <c r="T1090" s="12"/>
      <c r="U1090" s="12"/>
      <c r="V1090" s="12"/>
    </row>
    <row r="1091" spans="1:22">
      <c r="A1091" s="12" t="s">
        <v>714</v>
      </c>
      <c r="B1091" s="12">
        <v>9100</v>
      </c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>
        <f t="shared" si="51"/>
        <v>9100</v>
      </c>
      <c r="S1091" s="12"/>
      <c r="T1091" s="12"/>
      <c r="U1091" s="12"/>
      <c r="V1091" s="12"/>
    </row>
    <row r="1092" spans="1:22">
      <c r="A1092" s="12" t="s">
        <v>713</v>
      </c>
      <c r="B1092" s="12">
        <v>31478</v>
      </c>
      <c r="C1092" s="12">
        <v>140753</v>
      </c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>
        <f t="shared" si="51"/>
        <v>172231</v>
      </c>
      <c r="S1092" s="12"/>
      <c r="T1092" s="12"/>
      <c r="U1092" s="12"/>
      <c r="V1092" s="12"/>
    </row>
    <row r="1093" spans="1:22">
      <c r="A1093" s="12" t="s">
        <v>752</v>
      </c>
      <c r="B1093" s="12"/>
      <c r="C1093" s="12">
        <v>0</v>
      </c>
      <c r="D1093" s="12"/>
      <c r="E1093" s="12">
        <v>-100000000</v>
      </c>
      <c r="F1093" s="12"/>
      <c r="G1093" s="12"/>
      <c r="H1093" s="12">
        <v>0</v>
      </c>
      <c r="I1093" s="12"/>
      <c r="J1093" s="12"/>
      <c r="K1093" s="12">
        <v>0</v>
      </c>
      <c r="L1093" s="12"/>
      <c r="M1093" s="12"/>
      <c r="N1093" s="12"/>
      <c r="O1093" s="12"/>
      <c r="P1093" s="12"/>
      <c r="Q1093" s="12"/>
      <c r="R1093" s="12">
        <f t="shared" si="51"/>
        <v>-100000000</v>
      </c>
      <c r="S1093" s="12">
        <v>0</v>
      </c>
      <c r="T1093" s="12">
        <v>0</v>
      </c>
      <c r="U1093" s="12">
        <v>0</v>
      </c>
      <c r="V1093" s="12"/>
    </row>
    <row r="1094" spans="1:22">
      <c r="A1094" s="12" t="s">
        <v>218</v>
      </c>
      <c r="B1094" s="12">
        <f>2372896-949841374.31</f>
        <v>-947468478.30999994</v>
      </c>
      <c r="C1094" s="12">
        <f>48609241+498622745.59</f>
        <v>547231986.58999991</v>
      </c>
      <c r="D1094" s="12"/>
      <c r="E1094" s="12">
        <f>-45000000-86916</f>
        <v>-45086916</v>
      </c>
      <c r="F1094" s="12">
        <v>97285533</v>
      </c>
      <c r="G1094" s="12"/>
      <c r="H1094" s="12">
        <v>0</v>
      </c>
      <c r="I1094" s="12"/>
      <c r="J1094" s="12"/>
      <c r="K1094" s="12">
        <v>0</v>
      </c>
      <c r="L1094" s="12"/>
      <c r="M1094" s="12"/>
      <c r="N1094" s="12"/>
      <c r="O1094" s="12"/>
      <c r="P1094" s="12"/>
      <c r="Q1094" s="12"/>
      <c r="R1094" s="12">
        <f t="shared" si="51"/>
        <v>-348037874.72000003</v>
      </c>
      <c r="S1094" s="12">
        <v>0</v>
      </c>
      <c r="T1094" s="12">
        <v>0</v>
      </c>
      <c r="U1094" s="12">
        <v>0</v>
      </c>
      <c r="V1094" s="12"/>
    </row>
    <row r="1095" spans="1:22">
      <c r="A1095" s="12" t="s">
        <v>438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>
        <f t="shared" si="51"/>
        <v>0</v>
      </c>
      <c r="S1095" s="12"/>
      <c r="T1095" s="12"/>
      <c r="U1095" s="12"/>
      <c r="V1095" s="12"/>
    </row>
    <row r="1096" spans="1:22">
      <c r="A1096" s="12" t="s">
        <v>544</v>
      </c>
      <c r="B1096" s="12"/>
      <c r="C1096" s="12">
        <v>0</v>
      </c>
      <c r="D1096" s="12"/>
      <c r="E1096" s="12">
        <v>0</v>
      </c>
      <c r="F1096" s="12"/>
      <c r="G1096" s="12"/>
      <c r="H1096" s="12">
        <v>0</v>
      </c>
      <c r="I1096" s="12"/>
      <c r="J1096" s="12"/>
      <c r="K1096" s="12">
        <v>0</v>
      </c>
      <c r="L1096" s="12"/>
      <c r="M1096" s="12"/>
      <c r="N1096" s="12"/>
      <c r="O1096" s="12"/>
      <c r="P1096" s="12"/>
      <c r="Q1096" s="12"/>
      <c r="R1096" s="12">
        <f t="shared" si="51"/>
        <v>0</v>
      </c>
      <c r="S1096" s="12">
        <v>0</v>
      </c>
      <c r="T1096" s="12">
        <v>0</v>
      </c>
      <c r="U1096" s="12">
        <v>0</v>
      </c>
      <c r="V1096" s="12"/>
    </row>
    <row r="1097" spans="1:22">
      <c r="A1097" s="13" t="s">
        <v>439</v>
      </c>
      <c r="B1097" s="13">
        <f>SUM(B1019:B1096)</f>
        <v>-1075002779.21</v>
      </c>
      <c r="C1097" s="13">
        <f t="shared" ref="C1097:Q1097" si="52">SUM(C1019:C1096)</f>
        <v>1809882733.1499999</v>
      </c>
      <c r="D1097" s="13">
        <f t="shared" si="52"/>
        <v>0</v>
      </c>
      <c r="E1097" s="13">
        <f t="shared" si="52"/>
        <v>-1140640836</v>
      </c>
      <c r="F1097" s="13">
        <f t="shared" si="52"/>
        <v>97285533</v>
      </c>
      <c r="G1097" s="13">
        <f t="shared" si="52"/>
        <v>0</v>
      </c>
      <c r="H1097" s="13">
        <f t="shared" si="52"/>
        <v>0</v>
      </c>
      <c r="I1097" s="13">
        <f t="shared" si="52"/>
        <v>0</v>
      </c>
      <c r="J1097" s="13">
        <f t="shared" si="52"/>
        <v>0</v>
      </c>
      <c r="K1097" s="13">
        <f t="shared" si="52"/>
        <v>0</v>
      </c>
      <c r="L1097" s="13">
        <f t="shared" si="52"/>
        <v>-1586817.1</v>
      </c>
      <c r="M1097" s="13">
        <f t="shared" si="52"/>
        <v>0</v>
      </c>
      <c r="N1097" s="13">
        <f t="shared" si="52"/>
        <v>0</v>
      </c>
      <c r="O1097" s="13">
        <f t="shared" si="52"/>
        <v>0</v>
      </c>
      <c r="P1097" s="13">
        <f t="shared" si="52"/>
        <v>0</v>
      </c>
      <c r="Q1097" s="13">
        <f t="shared" si="52"/>
        <v>0</v>
      </c>
      <c r="R1097" s="13">
        <f t="shared" si="51"/>
        <v>-310062166.16000021</v>
      </c>
      <c r="S1097" s="13"/>
      <c r="T1097" s="13">
        <f>SUM(T1020:T1094)</f>
        <v>0</v>
      </c>
      <c r="U1097" s="13">
        <f>SUM(U1020:U1094)</f>
        <v>0</v>
      </c>
      <c r="V1097" s="13"/>
    </row>
    <row r="1098" spans="1:22">
      <c r="A1098" s="13"/>
      <c r="B1098" s="12"/>
      <c r="C1098" s="12">
        <v>0</v>
      </c>
      <c r="D1098" s="12"/>
      <c r="E1098" s="12">
        <v>0</v>
      </c>
      <c r="F1098" s="12"/>
      <c r="G1098" s="12"/>
      <c r="H1098" s="12">
        <v>0</v>
      </c>
      <c r="I1098" s="12"/>
      <c r="J1098" s="12"/>
      <c r="K1098" s="12">
        <v>0</v>
      </c>
      <c r="L1098" s="12"/>
      <c r="M1098" s="12"/>
      <c r="N1098" s="12"/>
      <c r="O1098" s="12"/>
      <c r="P1098" s="12"/>
      <c r="Q1098" s="12"/>
      <c r="R1098" s="12">
        <f t="shared" si="51"/>
        <v>0</v>
      </c>
      <c r="S1098" s="12"/>
      <c r="T1098" s="12">
        <v>0</v>
      </c>
      <c r="U1098" s="12">
        <v>0</v>
      </c>
      <c r="V1098" s="12"/>
    </row>
    <row r="1099" spans="1:22">
      <c r="A1099" s="13"/>
      <c r="B1099" s="12"/>
      <c r="C1099" s="12">
        <v>0</v>
      </c>
      <c r="D1099" s="12"/>
      <c r="E1099" s="12">
        <v>0</v>
      </c>
      <c r="F1099" s="12"/>
      <c r="G1099" s="12"/>
      <c r="H1099" s="12">
        <v>0</v>
      </c>
      <c r="I1099" s="12"/>
      <c r="J1099" s="12"/>
      <c r="K1099" s="12">
        <v>0</v>
      </c>
      <c r="L1099" s="12"/>
      <c r="M1099" s="12"/>
      <c r="N1099" s="12"/>
      <c r="O1099" s="12"/>
      <c r="P1099" s="12"/>
      <c r="Q1099" s="12"/>
      <c r="R1099" s="12">
        <f t="shared" si="51"/>
        <v>0</v>
      </c>
      <c r="S1099" s="12"/>
      <c r="T1099" s="12">
        <v>0</v>
      </c>
      <c r="U1099" s="12">
        <v>0</v>
      </c>
      <c r="V1099" s="12"/>
    </row>
    <row r="1100" spans="1:22" ht="13.5" thickBot="1">
      <c r="A1100" s="13" t="s">
        <v>611</v>
      </c>
      <c r="B1100" s="81">
        <f>SUM(-B1097+B1011)</f>
        <v>2007711704.46</v>
      </c>
      <c r="C1100" s="81">
        <f>SUM(C1097+C1011)</f>
        <v>1035863839.2099999</v>
      </c>
      <c r="D1100" s="81"/>
      <c r="E1100" s="81">
        <f>SUM(E1097+E1011)</f>
        <v>-606068987</v>
      </c>
      <c r="F1100" s="81"/>
      <c r="G1100" s="81"/>
      <c r="H1100" s="81">
        <f>SUM(H1097+H1011)</f>
        <v>0</v>
      </c>
      <c r="I1100" s="81">
        <f>SUM(I1097+I1011)</f>
        <v>0</v>
      </c>
      <c r="J1100" s="81"/>
      <c r="K1100" s="81">
        <f>SUM(-K1097+K1011)</f>
        <v>36222228</v>
      </c>
      <c r="L1100" s="81">
        <f>SUM(-L1097+L1011)</f>
        <v>1525106.6</v>
      </c>
      <c r="M1100" s="81"/>
      <c r="N1100" s="81"/>
      <c r="O1100" s="81"/>
      <c r="P1100" s="81"/>
      <c r="Q1100" s="81"/>
      <c r="R1100" s="81">
        <f>SUM(-R1097+R1011)</f>
        <v>1039872386.9700001</v>
      </c>
      <c r="S1100" s="81">
        <f>SUM(S1097+S1011)</f>
        <v>0</v>
      </c>
      <c r="T1100" s="81">
        <f>SUM(T1097+T1011)</f>
        <v>0</v>
      </c>
      <c r="U1100" s="81">
        <f>SUM(U1097+U1011)</f>
        <v>0</v>
      </c>
      <c r="V1100" s="81"/>
    </row>
    <row r="1101" spans="1:22" ht="13.5" thickTop="1"/>
    <row r="1105" spans="1:22">
      <c r="A1105" s="12" t="s">
        <v>544</v>
      </c>
      <c r="B1105" s="16" t="s">
        <v>665</v>
      </c>
      <c r="C1105" s="12"/>
      <c r="D1105" s="12"/>
      <c r="E1105" s="12"/>
      <c r="F1105" s="12"/>
      <c r="G1105" s="12"/>
      <c r="H1105" s="13" t="s">
        <v>924</v>
      </c>
      <c r="I1105" s="12"/>
      <c r="J1105" s="12"/>
      <c r="K1105" s="12"/>
      <c r="L1105" s="12"/>
      <c r="M1105" s="12"/>
      <c r="N1105" s="12"/>
      <c r="O1105" s="12"/>
      <c r="P1105" s="12"/>
      <c r="Q1105" s="12"/>
    </row>
    <row r="1106" spans="1:2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</row>
    <row r="1107" spans="1:22">
      <c r="A1107" s="104" t="s">
        <v>769</v>
      </c>
      <c r="B1107" s="183" t="s">
        <v>471</v>
      </c>
      <c r="C1107" s="183" t="s">
        <v>41</v>
      </c>
      <c r="D1107" s="183" t="s">
        <v>42</v>
      </c>
      <c r="E1107" s="183" t="s">
        <v>738</v>
      </c>
      <c r="F1107" s="74" t="s">
        <v>694</v>
      </c>
      <c r="G1107" s="74" t="s">
        <v>543</v>
      </c>
      <c r="H1107" s="74" t="s">
        <v>3</v>
      </c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</row>
    <row r="1108" spans="1:22">
      <c r="A1108" s="12"/>
      <c r="B1108" s="183" t="s">
        <v>120</v>
      </c>
      <c r="C1108" s="183" t="s">
        <v>440</v>
      </c>
      <c r="D1108" s="183" t="s">
        <v>43</v>
      </c>
      <c r="E1108" s="183" t="s">
        <v>44</v>
      </c>
      <c r="F1108" s="74" t="s">
        <v>440</v>
      </c>
      <c r="G1108" s="74" t="s">
        <v>653</v>
      </c>
      <c r="H1108" s="74" t="s">
        <v>92</v>
      </c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</row>
    <row r="1109" spans="1:22">
      <c r="A1109" s="12"/>
      <c r="B1109" s="12"/>
      <c r="C1109" s="12"/>
      <c r="D1109" s="13" t="s">
        <v>440</v>
      </c>
      <c r="E1109" s="13"/>
      <c r="F1109" s="75"/>
      <c r="G1109" s="75"/>
      <c r="H1109" s="75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</row>
    <row r="1110" spans="1:22">
      <c r="A1110" s="12"/>
      <c r="B1110" s="12"/>
      <c r="C1110" s="12"/>
      <c r="D1110" s="12"/>
      <c r="E1110" s="12"/>
      <c r="F1110" s="13" t="s">
        <v>544</v>
      </c>
      <c r="G1110" s="13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</row>
    <row r="1111" spans="1:22">
      <c r="A1111" s="13" t="s">
        <v>45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</row>
    <row r="1112" spans="1:2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</row>
    <row r="1113" spans="1:2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</row>
    <row r="1114" spans="1:22" ht="19.5">
      <c r="A1114" s="334" t="s">
        <v>46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</row>
    <row r="1115" spans="1:22">
      <c r="A1115" s="12"/>
      <c r="B1115" s="12">
        <v>0</v>
      </c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</row>
    <row r="1116" spans="1:22">
      <c r="A1116" s="12" t="s">
        <v>47</v>
      </c>
      <c r="B1116" s="12">
        <v>164078.09</v>
      </c>
      <c r="C1116" s="12">
        <v>0</v>
      </c>
      <c r="D1116" s="12">
        <v>0</v>
      </c>
      <c r="E1116" s="12"/>
      <c r="F1116" s="12">
        <v>0</v>
      </c>
      <c r="G1116" s="12"/>
      <c r="H1116" s="12">
        <f t="shared" ref="H1116:H1128" si="53">B1116-C1116+D1116-E1116+F1116</f>
        <v>164078.09</v>
      </c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</row>
    <row r="1117" spans="1:22">
      <c r="A1117" s="12" t="s">
        <v>502</v>
      </c>
      <c r="B1117" s="12">
        <v>3472257.25</v>
      </c>
      <c r="C1117" s="12">
        <v>0</v>
      </c>
      <c r="D1117" s="12">
        <v>0</v>
      </c>
      <c r="E1117" s="12"/>
      <c r="F1117" s="12">
        <v>0</v>
      </c>
      <c r="G1117" s="12"/>
      <c r="H1117" s="12">
        <f t="shared" si="53"/>
        <v>3472257.25</v>
      </c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</row>
    <row r="1118" spans="1:22">
      <c r="A1118" s="12" t="s">
        <v>759</v>
      </c>
      <c r="B1118" s="12">
        <v>169730018.56</v>
      </c>
      <c r="C1118" s="99">
        <v>187145599</v>
      </c>
      <c r="D1118" s="99">
        <v>7374400</v>
      </c>
      <c r="E1118" s="12"/>
      <c r="F1118" s="99">
        <v>35898528</v>
      </c>
      <c r="G1118" s="12"/>
      <c r="H1118" s="12">
        <f t="shared" si="53"/>
        <v>25857347.560000002</v>
      </c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</row>
    <row r="1119" spans="1:22">
      <c r="A1119" s="12" t="s">
        <v>134</v>
      </c>
      <c r="B1119" s="12">
        <v>10776319</v>
      </c>
      <c r="C1119" s="12"/>
      <c r="D1119" s="12">
        <v>0</v>
      </c>
      <c r="E1119" s="12"/>
      <c r="F1119" s="12">
        <v>0</v>
      </c>
      <c r="G1119" s="12"/>
      <c r="H1119" s="12">
        <f t="shared" si="53"/>
        <v>10776319</v>
      </c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</row>
    <row r="1120" spans="1:22">
      <c r="A1120" s="12" t="s">
        <v>504</v>
      </c>
      <c r="B1120" s="12">
        <v>409489.1</v>
      </c>
      <c r="C1120" s="12"/>
      <c r="D1120" s="12">
        <v>0</v>
      </c>
      <c r="E1120" s="12"/>
      <c r="F1120" s="12">
        <v>0</v>
      </c>
      <c r="G1120" s="12"/>
      <c r="H1120" s="12">
        <f t="shared" si="53"/>
        <v>409489.1</v>
      </c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</row>
    <row r="1121" spans="1:22">
      <c r="A1121" s="12" t="s">
        <v>505</v>
      </c>
      <c r="B1121" s="12">
        <v>88332.25</v>
      </c>
      <c r="C1121" s="12"/>
      <c r="D1121" s="12">
        <v>0</v>
      </c>
      <c r="E1121" s="12"/>
      <c r="F1121" s="12">
        <v>0</v>
      </c>
      <c r="G1121" s="12"/>
      <c r="H1121" s="12">
        <f t="shared" si="53"/>
        <v>88332.25</v>
      </c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</row>
    <row r="1122" spans="1:22">
      <c r="A1122" s="12" t="s">
        <v>506</v>
      </c>
      <c r="B1122" s="12">
        <v>25170</v>
      </c>
      <c r="C1122" s="12"/>
      <c r="D1122" s="12">
        <v>0</v>
      </c>
      <c r="E1122" s="12"/>
      <c r="F1122" s="12">
        <v>0</v>
      </c>
      <c r="G1122" s="12"/>
      <c r="H1122" s="12">
        <f t="shared" si="53"/>
        <v>25170</v>
      </c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</row>
    <row r="1123" spans="1:22">
      <c r="A1123" s="12" t="s">
        <v>507</v>
      </c>
      <c r="B1123" s="12">
        <v>115184</v>
      </c>
      <c r="C1123" s="12"/>
      <c r="D1123" s="12">
        <v>0</v>
      </c>
      <c r="E1123" s="12"/>
      <c r="F1123" s="12">
        <v>0</v>
      </c>
      <c r="G1123" s="12"/>
      <c r="H1123" s="12">
        <f t="shared" si="53"/>
        <v>115184</v>
      </c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</row>
    <row r="1124" spans="1:22">
      <c r="A1124" s="12" t="s">
        <v>606</v>
      </c>
      <c r="B1124" s="12">
        <v>64572251</v>
      </c>
      <c r="C1124" s="12"/>
      <c r="D1124" s="12">
        <v>0</v>
      </c>
      <c r="E1124" s="12"/>
      <c r="F1124" s="12">
        <v>0</v>
      </c>
      <c r="G1124" s="12"/>
      <c r="H1124" s="12">
        <f t="shared" si="53"/>
        <v>64572251</v>
      </c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</row>
    <row r="1125" spans="1:22">
      <c r="A1125" s="12" t="s">
        <v>760</v>
      </c>
      <c r="B1125" s="12">
        <v>6413842.4000000004</v>
      </c>
      <c r="C1125" s="12"/>
      <c r="D1125" s="12">
        <v>0</v>
      </c>
      <c r="E1125" s="12"/>
      <c r="F1125" s="12">
        <v>0</v>
      </c>
      <c r="G1125" s="12"/>
      <c r="H1125" s="12">
        <f t="shared" si="53"/>
        <v>6413842.4000000004</v>
      </c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</row>
    <row r="1126" spans="1:22">
      <c r="A1126" s="12" t="s">
        <v>509</v>
      </c>
      <c r="B1126" s="12">
        <v>13763231.130000001</v>
      </c>
      <c r="C1126" s="12"/>
      <c r="D1126" s="12">
        <v>0</v>
      </c>
      <c r="E1126" s="12"/>
      <c r="F1126" s="12">
        <v>0</v>
      </c>
      <c r="G1126" s="12"/>
      <c r="H1126" s="12">
        <f t="shared" si="53"/>
        <v>13763231.130000001</v>
      </c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</row>
    <row r="1127" spans="1:22">
      <c r="A1127" s="12" t="s">
        <v>510</v>
      </c>
      <c r="B1127" s="12">
        <v>5313120</v>
      </c>
      <c r="C1127" s="12"/>
      <c r="D1127" s="12">
        <v>0</v>
      </c>
      <c r="E1127" s="12"/>
      <c r="F1127" s="12">
        <v>0</v>
      </c>
      <c r="G1127" s="12"/>
      <c r="H1127" s="12">
        <f t="shared" si="53"/>
        <v>5313120</v>
      </c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</row>
    <row r="1128" spans="1:22">
      <c r="A1128" s="12" t="s">
        <v>512</v>
      </c>
      <c r="B1128" s="12">
        <v>100000</v>
      </c>
      <c r="C1128" s="12"/>
      <c r="D1128" s="12">
        <v>0</v>
      </c>
      <c r="E1128" s="12"/>
      <c r="F1128" s="12">
        <v>0</v>
      </c>
      <c r="G1128" s="12"/>
      <c r="H1128" s="12">
        <f t="shared" si="53"/>
        <v>100000</v>
      </c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</row>
    <row r="1129" spans="1:22">
      <c r="A1129" s="12" t="s">
        <v>513</v>
      </c>
      <c r="B1129" s="12">
        <v>661800.9</v>
      </c>
      <c r="C1129" s="12"/>
      <c r="D1129" s="12">
        <v>0</v>
      </c>
      <c r="E1129" s="12"/>
      <c r="F1129" s="12">
        <v>0</v>
      </c>
      <c r="G1129" s="12">
        <v>430953.1</v>
      </c>
      <c r="H1129" s="12">
        <f>B1129-C1129+D1129-E1129+F1129+G1129</f>
        <v>1092754</v>
      </c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</row>
    <row r="1130" spans="1:22">
      <c r="A1130" s="12" t="s">
        <v>514</v>
      </c>
      <c r="B1130" s="12">
        <v>909488</v>
      </c>
      <c r="C1130" s="12"/>
      <c r="D1130" s="12">
        <v>0</v>
      </c>
      <c r="E1130" s="12"/>
      <c r="F1130" s="12">
        <v>0</v>
      </c>
      <c r="G1130" s="12"/>
      <c r="H1130" s="12">
        <f>B1130-C1130+D1130-E1130+F1130</f>
        <v>909488</v>
      </c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</row>
    <row r="1131" spans="1:22">
      <c r="A1131" s="12" t="s">
        <v>515</v>
      </c>
      <c r="B1131" s="12">
        <v>847972.5</v>
      </c>
      <c r="C1131" s="12"/>
      <c r="D1131" s="12">
        <v>0</v>
      </c>
      <c r="E1131" s="12"/>
      <c r="F1131" s="12">
        <v>0</v>
      </c>
      <c r="G1131" s="12"/>
      <c r="H1131" s="12">
        <f>B1131-C1131+D1131-E1131+F1131</f>
        <v>847972.5</v>
      </c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</row>
    <row r="1132" spans="1:22">
      <c r="A1132" s="12" t="s">
        <v>516</v>
      </c>
      <c r="B1132" s="12">
        <v>1025745.5</v>
      </c>
      <c r="C1132" s="12"/>
      <c r="D1132" s="12">
        <v>0</v>
      </c>
      <c r="E1132" s="12"/>
      <c r="F1132" s="12">
        <v>0</v>
      </c>
      <c r="G1132" s="12"/>
      <c r="H1132" s="12">
        <f>B1132-C1132+D1132-E1132+F1132</f>
        <v>1025745.5</v>
      </c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</row>
    <row r="1133" spans="1:22">
      <c r="A1133" s="12" t="s">
        <v>517</v>
      </c>
      <c r="B1133" s="12">
        <v>112159</v>
      </c>
      <c r="C1133" s="12"/>
      <c r="D1133" s="12">
        <v>0</v>
      </c>
      <c r="E1133" s="12"/>
      <c r="F1133" s="12">
        <v>0</v>
      </c>
      <c r="G1133" s="12"/>
      <c r="H1133" s="12">
        <f>B1133-C1133+D1133-E1133+F1133</f>
        <v>112159</v>
      </c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</row>
    <row r="1134" spans="1:22">
      <c r="A1134" s="12" t="s">
        <v>518</v>
      </c>
      <c r="B1134" s="12">
        <v>77930</v>
      </c>
      <c r="C1134" s="12"/>
      <c r="D1134" s="12">
        <v>0</v>
      </c>
      <c r="E1134" s="12"/>
      <c r="F1134" s="12">
        <v>0</v>
      </c>
      <c r="G1134" s="12">
        <v>-60370.5</v>
      </c>
      <c r="H1134" s="12">
        <f>B1134-C1134+D1134-E1134+F1134+G1134</f>
        <v>17559.5</v>
      </c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</row>
    <row r="1135" spans="1:22">
      <c r="A1135" s="12" t="s">
        <v>519</v>
      </c>
      <c r="B1135" s="12">
        <v>132872</v>
      </c>
      <c r="C1135" s="12"/>
      <c r="D1135" s="12">
        <v>0</v>
      </c>
      <c r="E1135" s="12"/>
      <c r="F1135" s="12">
        <v>0</v>
      </c>
      <c r="G1135" s="12"/>
      <c r="H1135" s="12">
        <f t="shared" ref="H1135:H1159" si="54">B1135-C1135+D1135-E1135+F1135</f>
        <v>132872</v>
      </c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</row>
    <row r="1136" spans="1:22">
      <c r="A1136" s="76" t="s">
        <v>520</v>
      </c>
      <c r="B1136" s="12">
        <v>7613988</v>
      </c>
      <c r="C1136" s="99">
        <v>32465052</v>
      </c>
      <c r="D1136" s="99">
        <v>70000000</v>
      </c>
      <c r="E1136" s="12"/>
      <c r="F1136" s="12">
        <v>0</v>
      </c>
      <c r="G1136" s="12"/>
      <c r="H1136" s="12">
        <f t="shared" si="54"/>
        <v>45148936</v>
      </c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</row>
    <row r="1137" spans="1:22">
      <c r="A1137" s="12" t="s">
        <v>523</v>
      </c>
      <c r="B1137" s="12">
        <v>5543</v>
      </c>
      <c r="C1137" s="12"/>
      <c r="D1137" s="12">
        <v>0</v>
      </c>
      <c r="E1137" s="12"/>
      <c r="F1137" s="12">
        <v>0</v>
      </c>
      <c r="G1137" s="12"/>
      <c r="H1137" s="12">
        <f t="shared" si="54"/>
        <v>5543</v>
      </c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</row>
    <row r="1138" spans="1:22">
      <c r="A1138" s="12" t="s">
        <v>524</v>
      </c>
      <c r="B1138" s="12">
        <v>49673</v>
      </c>
      <c r="C1138" s="12"/>
      <c r="D1138" s="12">
        <v>0</v>
      </c>
      <c r="E1138" s="12"/>
      <c r="F1138" s="12">
        <v>0</v>
      </c>
      <c r="G1138" s="12"/>
      <c r="H1138" s="12">
        <f t="shared" si="54"/>
        <v>49673</v>
      </c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</row>
    <row r="1139" spans="1:22">
      <c r="A1139" s="12" t="s">
        <v>525</v>
      </c>
      <c r="B1139" s="12">
        <v>9664</v>
      </c>
      <c r="C1139" s="12"/>
      <c r="D1139" s="12">
        <v>0</v>
      </c>
      <c r="E1139" s="12"/>
      <c r="F1139" s="12">
        <v>0</v>
      </c>
      <c r="G1139" s="12"/>
      <c r="H1139" s="12">
        <f t="shared" si="54"/>
        <v>9664</v>
      </c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</row>
    <row r="1140" spans="1:22">
      <c r="A1140" s="12" t="s">
        <v>527</v>
      </c>
      <c r="B1140" s="12">
        <v>47412192.43</v>
      </c>
      <c r="C1140" s="99">
        <v>20687463</v>
      </c>
      <c r="D1140" s="99">
        <v>30000000</v>
      </c>
      <c r="E1140" s="12"/>
      <c r="F1140" s="12">
        <v>0</v>
      </c>
      <c r="G1140" s="12"/>
      <c r="H1140" s="12">
        <f t="shared" si="54"/>
        <v>56724729.43</v>
      </c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</row>
    <row r="1141" spans="1:22">
      <c r="A1141" s="12" t="s">
        <v>767</v>
      </c>
      <c r="B1141" s="12">
        <v>6278206.0700000003</v>
      </c>
      <c r="C1141" s="99">
        <v>3921026</v>
      </c>
      <c r="D1141" s="12">
        <v>0</v>
      </c>
      <c r="E1141" s="12"/>
      <c r="F1141" s="99">
        <v>310500</v>
      </c>
      <c r="G1141" s="12"/>
      <c r="H1141" s="12">
        <f t="shared" si="54"/>
        <v>2667680.0700000003</v>
      </c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</row>
    <row r="1142" spans="1:22">
      <c r="A1142" s="12" t="s">
        <v>530</v>
      </c>
      <c r="B1142" s="12">
        <v>8775000</v>
      </c>
      <c r="C1142" s="12"/>
      <c r="D1142" s="12">
        <v>0</v>
      </c>
      <c r="E1142" s="12"/>
      <c r="F1142" s="12">
        <v>0</v>
      </c>
      <c r="G1142" s="12"/>
      <c r="H1142" s="12">
        <f t="shared" si="54"/>
        <v>8775000</v>
      </c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</row>
    <row r="1143" spans="1:22">
      <c r="A1143" s="12" t="s">
        <v>531</v>
      </c>
      <c r="B1143" s="12">
        <v>21697500</v>
      </c>
      <c r="C1143" s="12"/>
      <c r="D1143" s="12">
        <v>0</v>
      </c>
      <c r="E1143" s="12"/>
      <c r="F1143" s="12">
        <v>0</v>
      </c>
      <c r="G1143" s="12"/>
      <c r="H1143" s="12">
        <f t="shared" si="54"/>
        <v>21697500</v>
      </c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</row>
    <row r="1144" spans="1:22">
      <c r="A1144" s="12" t="s">
        <v>766</v>
      </c>
      <c r="B1144" s="12"/>
      <c r="C1144" s="99">
        <v>14576</v>
      </c>
      <c r="D1144" s="99">
        <v>500000</v>
      </c>
      <c r="E1144" s="12"/>
      <c r="F1144" s="12">
        <v>0</v>
      </c>
      <c r="G1144" s="12"/>
      <c r="H1144" s="12">
        <f t="shared" si="54"/>
        <v>485424</v>
      </c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</row>
    <row r="1145" spans="1:22">
      <c r="A1145" s="12" t="s">
        <v>533</v>
      </c>
      <c r="B1145" s="12">
        <v>67902</v>
      </c>
      <c r="C1145" s="12"/>
      <c r="D1145" s="12">
        <v>0</v>
      </c>
      <c r="E1145" s="12"/>
      <c r="F1145" s="12">
        <v>0</v>
      </c>
      <c r="G1145" s="12"/>
      <c r="H1145" s="12">
        <f t="shared" si="54"/>
        <v>67902</v>
      </c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</row>
    <row r="1146" spans="1:22">
      <c r="A1146" s="12" t="s">
        <v>215</v>
      </c>
      <c r="B1146" s="12">
        <f>308744+30</f>
        <v>308774</v>
      </c>
      <c r="C1146" s="12"/>
      <c r="D1146" s="12">
        <v>0</v>
      </c>
      <c r="E1146" s="12"/>
      <c r="F1146" s="12">
        <v>0</v>
      </c>
      <c r="G1146" s="12"/>
      <c r="H1146" s="12">
        <f t="shared" si="54"/>
        <v>308774</v>
      </c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</row>
    <row r="1147" spans="1:22">
      <c r="A1147" s="12" t="s">
        <v>216</v>
      </c>
      <c r="B1147" s="12">
        <v>39829073</v>
      </c>
      <c r="C1147" s="12"/>
      <c r="D1147" s="12">
        <v>0</v>
      </c>
      <c r="E1147" s="12"/>
      <c r="F1147" s="12">
        <v>0</v>
      </c>
      <c r="G1147" s="12"/>
      <c r="H1147" s="12">
        <f t="shared" si="54"/>
        <v>39829073</v>
      </c>
      <c r="I1147" s="12">
        <v>0</v>
      </c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</row>
    <row r="1148" spans="1:22">
      <c r="A1148" s="12" t="s">
        <v>217</v>
      </c>
      <c r="B1148" s="12">
        <v>8040000</v>
      </c>
      <c r="C1148" s="12"/>
      <c r="D1148" s="12">
        <v>0</v>
      </c>
      <c r="E1148" s="12"/>
      <c r="F1148" s="12">
        <v>0</v>
      </c>
      <c r="G1148" s="12"/>
      <c r="H1148" s="12">
        <f t="shared" si="54"/>
        <v>8040000</v>
      </c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</row>
    <row r="1149" spans="1:22">
      <c r="A1149" s="12" t="s">
        <v>218</v>
      </c>
      <c r="B1149" s="12">
        <v>1131979763.6500001</v>
      </c>
      <c r="C1149" s="99">
        <v>575134983.38999999</v>
      </c>
      <c r="D1149" s="12">
        <v>0</v>
      </c>
      <c r="E1149" s="12"/>
      <c r="F1149" s="99">
        <v>8437500</v>
      </c>
      <c r="G1149" s="12"/>
      <c r="H1149" s="12">
        <f t="shared" si="54"/>
        <v>565282280.26000011</v>
      </c>
      <c r="I1149" s="12">
        <f>-I11490</f>
        <v>0</v>
      </c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</row>
    <row r="1150" spans="1:22">
      <c r="A1150" s="12" t="s">
        <v>763</v>
      </c>
      <c r="B1150" s="12">
        <v>0</v>
      </c>
      <c r="C1150" s="12"/>
      <c r="D1150" s="99">
        <v>516060</v>
      </c>
      <c r="E1150" s="12"/>
      <c r="F1150" s="12"/>
      <c r="G1150" s="12"/>
      <c r="H1150" s="12">
        <f t="shared" si="54"/>
        <v>516060</v>
      </c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</row>
    <row r="1151" spans="1:22">
      <c r="A1151" s="12" t="s">
        <v>761</v>
      </c>
      <c r="B1151" s="12"/>
      <c r="C1151" s="99">
        <v>347500000</v>
      </c>
      <c r="D1151" s="99">
        <v>347500000</v>
      </c>
      <c r="E1151" s="12"/>
      <c r="F1151" s="12"/>
      <c r="G1151" s="12"/>
      <c r="H1151" s="12">
        <f t="shared" si="54"/>
        <v>0</v>
      </c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</row>
    <row r="1152" spans="1:22">
      <c r="A1152" s="12" t="s">
        <v>219</v>
      </c>
      <c r="B1152" s="12">
        <v>180841800</v>
      </c>
      <c r="C1152" s="99">
        <v>180841800</v>
      </c>
      <c r="D1152" s="12">
        <v>0</v>
      </c>
      <c r="E1152" s="12"/>
      <c r="F1152" s="12">
        <v>0</v>
      </c>
      <c r="G1152" s="12"/>
      <c r="H1152" s="12">
        <f t="shared" si="54"/>
        <v>0</v>
      </c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</row>
    <row r="1153" spans="1:22">
      <c r="A1153" s="12" t="s">
        <v>220</v>
      </c>
      <c r="B1153" s="12"/>
      <c r="C1153" s="99">
        <v>2923611</v>
      </c>
      <c r="D1153" s="99">
        <v>2923611</v>
      </c>
      <c r="E1153" s="12"/>
      <c r="F1153" s="12">
        <v>0</v>
      </c>
      <c r="G1153" s="12"/>
      <c r="H1153" s="12">
        <f t="shared" si="54"/>
        <v>0</v>
      </c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</row>
    <row r="1154" spans="1:22">
      <c r="A1154" s="76" t="s">
        <v>764</v>
      </c>
      <c r="B1154" s="12">
        <v>0</v>
      </c>
      <c r="C1154" s="12"/>
      <c r="D1154" s="99">
        <v>9682000</v>
      </c>
      <c r="E1154" s="12"/>
      <c r="F1154" s="12"/>
      <c r="G1154" s="12"/>
      <c r="H1154" s="12">
        <f t="shared" si="54"/>
        <v>9682000</v>
      </c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</row>
    <row r="1155" spans="1:22">
      <c r="A1155" s="12" t="s">
        <v>224</v>
      </c>
      <c r="B1155" s="12"/>
      <c r="C1155" s="12"/>
      <c r="D1155" s="99">
        <v>1393000</v>
      </c>
      <c r="E1155" s="12"/>
      <c r="F1155" s="12">
        <v>0</v>
      </c>
      <c r="G1155" s="12"/>
      <c r="H1155" s="12">
        <f t="shared" si="54"/>
        <v>1393000</v>
      </c>
      <c r="I1155" s="12">
        <v>0</v>
      </c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</row>
    <row r="1156" spans="1:22">
      <c r="A1156" s="12" t="s">
        <v>225</v>
      </c>
      <c r="B1156" s="12">
        <v>4320225</v>
      </c>
      <c r="C1156" s="12"/>
      <c r="D1156" s="12">
        <v>0</v>
      </c>
      <c r="E1156" s="12"/>
      <c r="F1156" s="12">
        <v>0</v>
      </c>
      <c r="G1156" s="12"/>
      <c r="H1156" s="12">
        <f t="shared" si="54"/>
        <v>4320225</v>
      </c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</row>
    <row r="1157" spans="1:22">
      <c r="A1157" s="12" t="s">
        <v>226</v>
      </c>
      <c r="B1157" s="12">
        <v>250000000</v>
      </c>
      <c r="C1157" s="99">
        <v>250000000</v>
      </c>
      <c r="D1157" s="12">
        <v>0</v>
      </c>
      <c r="E1157" s="12"/>
      <c r="F1157" s="12">
        <v>0</v>
      </c>
      <c r="G1157" s="12"/>
      <c r="H1157" s="12">
        <f t="shared" si="54"/>
        <v>0</v>
      </c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</row>
    <row r="1158" spans="1:22">
      <c r="A1158" s="76" t="s">
        <v>765</v>
      </c>
      <c r="B1158" s="12"/>
      <c r="C1158" s="12"/>
      <c r="D1158" s="99">
        <v>40000000</v>
      </c>
      <c r="E1158" s="12"/>
      <c r="F1158" s="12"/>
      <c r="G1158" s="12"/>
      <c r="H1158" s="12">
        <f t="shared" si="54"/>
        <v>40000000</v>
      </c>
      <c r="I1158" s="12">
        <v>0</v>
      </c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</row>
    <row r="1159" spans="1:22">
      <c r="A1159" s="12" t="s">
        <v>438</v>
      </c>
      <c r="B1159" s="99">
        <f>28230063-4375814</f>
        <v>23854249</v>
      </c>
      <c r="C1159" s="12"/>
      <c r="D1159" s="12">
        <v>0</v>
      </c>
      <c r="E1159" s="12">
        <v>7962761</v>
      </c>
      <c r="F1159" s="12">
        <v>0</v>
      </c>
      <c r="G1159" s="12"/>
      <c r="H1159" s="12">
        <f t="shared" si="54"/>
        <v>15891488</v>
      </c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</row>
    <row r="1160" spans="1:22">
      <c r="A1160" s="12" t="s">
        <v>775</v>
      </c>
      <c r="B1160" s="99">
        <v>39173985.259999998</v>
      </c>
      <c r="C1160" s="99">
        <f>165363834.14+9470967.56</f>
        <v>174834801.69999999</v>
      </c>
      <c r="D1160" s="99">
        <v>290000000</v>
      </c>
      <c r="E1160" s="12"/>
      <c r="F1160" s="12">
        <v>0</v>
      </c>
      <c r="G1160" s="12">
        <v>1340</v>
      </c>
      <c r="H1160" s="12">
        <f>B1160-C1160+D1160-E1160+F1160-G1160</f>
        <v>154337843.56</v>
      </c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</row>
    <row r="1161" spans="1:22">
      <c r="A1161" s="76" t="s">
        <v>777</v>
      </c>
      <c r="B1161" s="12"/>
      <c r="C1161" s="99">
        <v>97285533</v>
      </c>
      <c r="D1161" s="99">
        <v>100000000</v>
      </c>
      <c r="E1161" s="12"/>
      <c r="F1161" s="12">
        <v>0</v>
      </c>
      <c r="G1161" s="12"/>
      <c r="H1161" s="12">
        <f>B1161-C1161+D1161-E1161+F1161-G1161</f>
        <v>2714467</v>
      </c>
      <c r="I1161" s="12">
        <v>0</v>
      </c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</row>
    <row r="1162" spans="1:22">
      <c r="A1162" s="12" t="s">
        <v>776</v>
      </c>
      <c r="B1162" s="12"/>
      <c r="C1162" s="12"/>
      <c r="D1162" s="12"/>
      <c r="E1162" s="12"/>
      <c r="F1162" s="12"/>
      <c r="G1162" s="12"/>
      <c r="H1162" s="12" t="s">
        <v>544</v>
      </c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</row>
    <row r="1163" spans="1:2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</row>
    <row r="1164" spans="1:22">
      <c r="A1164" s="13" t="s">
        <v>294</v>
      </c>
      <c r="B1164" s="13">
        <f>SUM(B1115:B1162)</f>
        <v>2048968799.0900002</v>
      </c>
      <c r="C1164" s="13">
        <f t="shared" ref="C1164" si="55">SUM(C1115:C1162)</f>
        <v>1872754445.0899999</v>
      </c>
      <c r="D1164" s="13">
        <f>SUM(D1115:D1162)</f>
        <v>899889071</v>
      </c>
      <c r="E1164" s="13">
        <f>SUM(E1115:E1162)</f>
        <v>7962761</v>
      </c>
      <c r="F1164" s="13">
        <f>SUM(F1115:F1162)</f>
        <v>44646528</v>
      </c>
      <c r="G1164" s="13">
        <f>SUM(G1115:G1162)</f>
        <v>371922.6</v>
      </c>
      <c r="H1164" s="13">
        <f>SUM(H1115:H1162)</f>
        <v>1113156434.6000001</v>
      </c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</row>
    <row r="1165" spans="1:22">
      <c r="A1165" s="13"/>
      <c r="B1165" s="13"/>
      <c r="C1165" s="13"/>
      <c r="D1165" s="13"/>
      <c r="E1165" s="13"/>
      <c r="F1165" s="13"/>
      <c r="G1165" s="13"/>
      <c r="H1165" s="13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</row>
    <row r="1166" spans="1:22">
      <c r="A1166" s="12"/>
      <c r="B1166" s="12"/>
      <c r="C1166" s="12"/>
      <c r="D1166" s="12"/>
      <c r="E1166" s="12"/>
      <c r="F1166" s="12"/>
      <c r="G1166" s="13" t="s">
        <v>926</v>
      </c>
      <c r="J1166" s="12"/>
      <c r="K1166" s="12"/>
      <c r="L1166" s="12"/>
      <c r="M1166" s="12"/>
      <c r="N1166" s="12"/>
      <c r="O1166" s="12"/>
      <c r="P1166" s="12"/>
      <c r="Q1166" s="12"/>
    </row>
    <row r="1167" spans="1:22">
      <c r="A1167" s="12"/>
      <c r="B1167" s="12"/>
      <c r="C1167" s="12"/>
      <c r="D1167" s="12"/>
      <c r="E1167" s="12"/>
      <c r="F1167" s="12"/>
      <c r="G1167" s="13"/>
      <c r="J1167" s="12"/>
      <c r="K1167" s="12"/>
      <c r="L1167" s="12"/>
      <c r="M1167" s="12"/>
      <c r="N1167" s="12"/>
      <c r="O1167" s="12"/>
      <c r="P1167" s="12"/>
      <c r="Q1167" s="12"/>
    </row>
    <row r="1168" spans="1:22">
      <c r="A1168" s="12"/>
      <c r="B1168" s="74" t="s">
        <v>471</v>
      </c>
      <c r="C1168" s="74" t="s">
        <v>41</v>
      </c>
      <c r="D1168" s="183" t="s">
        <v>42</v>
      </c>
      <c r="F1168" s="74" t="s">
        <v>694</v>
      </c>
      <c r="G1168" s="74" t="s">
        <v>543</v>
      </c>
      <c r="H1168" s="74" t="s">
        <v>3</v>
      </c>
      <c r="M1168" s="74"/>
      <c r="N1168" s="74"/>
      <c r="O1168" s="74"/>
      <c r="P1168" s="74"/>
      <c r="Q1168" s="74"/>
    </row>
    <row r="1169" spans="1:17">
      <c r="A1169" s="12"/>
      <c r="B1169" s="74" t="s">
        <v>120</v>
      </c>
      <c r="C1169" s="74" t="s">
        <v>440</v>
      </c>
      <c r="D1169" s="183" t="s">
        <v>43</v>
      </c>
      <c r="F1169" s="74" t="s">
        <v>440</v>
      </c>
      <c r="G1169" s="74" t="s">
        <v>653</v>
      </c>
      <c r="H1169" s="74" t="s">
        <v>92</v>
      </c>
      <c r="M1169" s="74"/>
      <c r="N1169" s="74"/>
      <c r="O1169" s="74"/>
      <c r="P1169" s="74"/>
      <c r="Q1169" s="74"/>
    </row>
    <row r="1170" spans="1:17">
      <c r="A1170" s="12"/>
      <c r="B1170" s="12"/>
      <c r="C1170" s="12"/>
      <c r="D1170" s="13" t="s">
        <v>440</v>
      </c>
      <c r="F1170" s="75"/>
      <c r="G1170" s="75"/>
      <c r="H1170" s="75"/>
      <c r="M1170" s="75"/>
      <c r="N1170" s="75"/>
      <c r="O1170" s="75"/>
      <c r="P1170" s="75"/>
      <c r="Q1170" s="75"/>
    </row>
    <row r="1171" spans="1:17">
      <c r="A1171" s="12"/>
      <c r="B1171" s="12"/>
      <c r="C1171" s="12"/>
      <c r="D1171" s="12"/>
      <c r="F1171" s="13"/>
      <c r="G1171" s="13"/>
      <c r="H1171" s="12"/>
      <c r="M1171" s="13"/>
      <c r="N1171" s="13"/>
      <c r="O1171" s="13"/>
      <c r="P1171" s="13"/>
      <c r="Q1171" s="13"/>
    </row>
    <row r="1172" spans="1:17">
      <c r="A1172" s="12"/>
      <c r="B1172" s="12"/>
      <c r="C1172" s="12"/>
      <c r="D1172" s="12"/>
      <c r="F1172" s="12"/>
      <c r="G1172" s="12"/>
      <c r="H1172" s="12"/>
      <c r="M1172" s="12"/>
      <c r="N1172" s="12"/>
      <c r="O1172" s="12"/>
      <c r="P1172" s="12"/>
      <c r="Q1172" s="12"/>
    </row>
    <row r="1173" spans="1:17">
      <c r="A1173" s="16" t="s">
        <v>459</v>
      </c>
      <c r="B1173" s="12"/>
      <c r="C1173" s="12"/>
      <c r="D1173" s="12"/>
      <c r="F1173" s="12"/>
      <c r="G1173" s="12"/>
      <c r="H1173" s="12"/>
      <c r="M1173" s="12"/>
      <c r="N1173" s="12"/>
      <c r="O1173" s="12"/>
      <c r="P1173" s="12"/>
      <c r="Q1173" s="12"/>
    </row>
    <row r="1174" spans="1:17">
      <c r="A1174" s="12" t="s">
        <v>227</v>
      </c>
      <c r="B1174" s="12">
        <v>163036.51</v>
      </c>
      <c r="C1174" s="12">
        <v>0</v>
      </c>
      <c r="D1174" s="12">
        <v>0</v>
      </c>
      <c r="F1174" s="12">
        <v>0</v>
      </c>
      <c r="G1174" s="12">
        <v>0</v>
      </c>
      <c r="H1174" s="12">
        <f>B1174+C1174-D1174-F1174</f>
        <v>163036.51</v>
      </c>
      <c r="M1174" s="12"/>
      <c r="N1174" s="12"/>
      <c r="O1174" s="12"/>
      <c r="P1174" s="12"/>
      <c r="Q1174" s="12"/>
    </row>
    <row r="1175" spans="1:17">
      <c r="A1175" s="12" t="s">
        <v>228</v>
      </c>
      <c r="B1175" s="12">
        <v>185288.49</v>
      </c>
      <c r="C1175" s="12">
        <v>0</v>
      </c>
      <c r="D1175" s="12">
        <v>0</v>
      </c>
      <c r="F1175" s="12">
        <v>0</v>
      </c>
      <c r="G1175" s="12">
        <v>0</v>
      </c>
      <c r="H1175" s="12">
        <f t="shared" ref="H1175:H1216" si="56">B1175+C1175-D1175-F1175</f>
        <v>185288.49</v>
      </c>
      <c r="M1175" s="12"/>
      <c r="N1175" s="12"/>
      <c r="O1175" s="12"/>
      <c r="P1175" s="12"/>
      <c r="Q1175" s="12"/>
    </row>
    <row r="1176" spans="1:17">
      <c r="A1176" s="12" t="s">
        <v>229</v>
      </c>
      <c r="B1176" s="12">
        <v>236758.2</v>
      </c>
      <c r="C1176" s="12">
        <v>0</v>
      </c>
      <c r="D1176" s="12">
        <v>0</v>
      </c>
      <c r="F1176" s="12">
        <v>0</v>
      </c>
      <c r="G1176" s="12">
        <v>0</v>
      </c>
      <c r="H1176" s="12">
        <f t="shared" si="56"/>
        <v>236758.2</v>
      </c>
      <c r="M1176" s="12"/>
      <c r="N1176" s="12"/>
      <c r="O1176" s="12"/>
      <c r="P1176" s="12"/>
      <c r="Q1176" s="12"/>
    </row>
    <row r="1177" spans="1:17">
      <c r="A1177" s="12" t="s">
        <v>230</v>
      </c>
      <c r="B1177" s="12">
        <v>77032.800000000003</v>
      </c>
      <c r="C1177" s="12">
        <v>0</v>
      </c>
      <c r="D1177" s="12">
        <v>0</v>
      </c>
      <c r="F1177" s="12">
        <v>0</v>
      </c>
      <c r="G1177" s="12">
        <v>0</v>
      </c>
      <c r="H1177" s="12">
        <f t="shared" si="56"/>
        <v>77032.800000000003</v>
      </c>
      <c r="M1177" s="12"/>
      <c r="N1177" s="12"/>
      <c r="O1177" s="12"/>
      <c r="P1177" s="12"/>
      <c r="Q1177" s="12"/>
    </row>
    <row r="1178" spans="1:17">
      <c r="A1178" s="12" t="s">
        <v>231</v>
      </c>
      <c r="B1178" s="12">
        <v>6513</v>
      </c>
      <c r="C1178" s="12">
        <v>0</v>
      </c>
      <c r="D1178" s="12">
        <v>0</v>
      </c>
      <c r="F1178" s="12">
        <v>0</v>
      </c>
      <c r="G1178" s="12">
        <v>0</v>
      </c>
      <c r="H1178" s="12">
        <f t="shared" si="56"/>
        <v>6513</v>
      </c>
      <c r="M1178" s="12"/>
      <c r="N1178" s="12"/>
      <c r="O1178" s="12"/>
      <c r="P1178" s="12"/>
      <c r="Q1178" s="12"/>
    </row>
    <row r="1179" spans="1:17">
      <c r="A1179" s="12" t="s">
        <v>268</v>
      </c>
      <c r="B1179" s="12">
        <v>342236</v>
      </c>
      <c r="C1179" s="12">
        <v>0</v>
      </c>
      <c r="D1179" s="12">
        <v>0</v>
      </c>
      <c r="F1179" s="12">
        <v>0</v>
      </c>
      <c r="G1179" s="12">
        <v>0</v>
      </c>
      <c r="H1179" s="12">
        <f t="shared" si="56"/>
        <v>342236</v>
      </c>
      <c r="M1179" s="12"/>
      <c r="N1179" s="12"/>
      <c r="O1179" s="12"/>
      <c r="P1179" s="12"/>
      <c r="Q1179" s="12"/>
    </row>
    <row r="1180" spans="1:17">
      <c r="A1180" s="12" t="s">
        <v>232</v>
      </c>
      <c r="B1180" s="12">
        <v>96480.2</v>
      </c>
      <c r="C1180" s="12">
        <v>0</v>
      </c>
      <c r="D1180" s="12">
        <v>0</v>
      </c>
      <c r="F1180" s="12">
        <v>0</v>
      </c>
      <c r="G1180" s="12">
        <v>0</v>
      </c>
      <c r="H1180" s="12">
        <f t="shared" si="56"/>
        <v>96480.2</v>
      </c>
      <c r="M1180" s="12"/>
      <c r="N1180" s="12"/>
      <c r="O1180" s="12"/>
      <c r="P1180" s="12"/>
      <c r="Q1180" s="12"/>
    </row>
    <row r="1181" spans="1:17">
      <c r="A1181" s="12" t="s">
        <v>233</v>
      </c>
      <c r="B1181" s="12">
        <v>42177</v>
      </c>
      <c r="C1181" s="12">
        <v>0</v>
      </c>
      <c r="D1181" s="12">
        <v>0</v>
      </c>
      <c r="F1181" s="12">
        <v>0</v>
      </c>
      <c r="G1181" s="12">
        <v>0</v>
      </c>
      <c r="H1181" s="12">
        <f t="shared" si="56"/>
        <v>42177</v>
      </c>
      <c r="M1181" s="12"/>
      <c r="N1181" s="12"/>
      <c r="O1181" s="12"/>
      <c r="P1181" s="12"/>
      <c r="Q1181" s="12"/>
    </row>
    <row r="1182" spans="1:17">
      <c r="A1182" s="12" t="s">
        <v>234</v>
      </c>
      <c r="B1182" s="12">
        <v>12720</v>
      </c>
      <c r="C1182" s="12">
        <v>0</v>
      </c>
      <c r="D1182" s="12">
        <v>0</v>
      </c>
      <c r="F1182" s="12">
        <v>0</v>
      </c>
      <c r="G1182" s="12">
        <v>0</v>
      </c>
      <c r="H1182" s="12">
        <f t="shared" si="56"/>
        <v>12720</v>
      </c>
      <c r="M1182" s="12"/>
      <c r="N1182" s="12"/>
      <c r="O1182" s="12"/>
      <c r="P1182" s="12"/>
      <c r="Q1182" s="12"/>
    </row>
    <row r="1183" spans="1:17">
      <c r="A1183" s="12" t="s">
        <v>235</v>
      </c>
      <c r="B1183" s="12">
        <v>41082</v>
      </c>
      <c r="C1183" s="12"/>
      <c r="D1183" s="12"/>
      <c r="F1183" s="12"/>
      <c r="G1183" s="12">
        <v>0</v>
      </c>
      <c r="H1183" s="12">
        <f t="shared" si="56"/>
        <v>41082</v>
      </c>
      <c r="M1183" s="12"/>
      <c r="N1183" s="12"/>
      <c r="O1183" s="12"/>
      <c r="P1183" s="12"/>
      <c r="Q1183" s="12"/>
    </row>
    <row r="1184" spans="1:17">
      <c r="A1184" s="12" t="s">
        <v>739</v>
      </c>
      <c r="B1184" s="12">
        <v>0</v>
      </c>
      <c r="C1184" s="99">
        <v>49500000</v>
      </c>
      <c r="D1184" s="99">
        <v>49500000</v>
      </c>
      <c r="F1184" s="12">
        <v>0</v>
      </c>
      <c r="G1184" s="12">
        <v>0</v>
      </c>
      <c r="H1184" s="12">
        <f t="shared" si="56"/>
        <v>0</v>
      </c>
      <c r="M1184" s="12"/>
      <c r="N1184" s="12"/>
      <c r="O1184" s="12"/>
      <c r="P1184" s="12"/>
      <c r="Q1184" s="12"/>
    </row>
    <row r="1185" spans="1:17">
      <c r="A1185" s="12" t="s">
        <v>236</v>
      </c>
      <c r="B1185" s="12">
        <v>17368.8</v>
      </c>
      <c r="C1185" s="12">
        <v>0</v>
      </c>
      <c r="D1185" s="12">
        <v>0</v>
      </c>
      <c r="F1185" s="12">
        <v>0</v>
      </c>
      <c r="G1185" s="12">
        <v>0</v>
      </c>
      <c r="H1185" s="12">
        <f t="shared" si="56"/>
        <v>17368.8</v>
      </c>
      <c r="M1185" s="12"/>
      <c r="N1185" s="12"/>
      <c r="O1185" s="12"/>
      <c r="P1185" s="12"/>
      <c r="Q1185" s="12"/>
    </row>
    <row r="1186" spans="1:17">
      <c r="A1186" s="12" t="s">
        <v>237</v>
      </c>
      <c r="B1186" s="12">
        <v>138435.28</v>
      </c>
      <c r="C1186" s="12">
        <v>0</v>
      </c>
      <c r="D1186" s="12">
        <v>0</v>
      </c>
      <c r="F1186" s="12">
        <v>0</v>
      </c>
      <c r="G1186" s="12">
        <v>0</v>
      </c>
      <c r="H1186" s="12">
        <f t="shared" si="56"/>
        <v>138435.28</v>
      </c>
      <c r="M1186" s="12"/>
      <c r="N1186" s="12"/>
      <c r="O1186" s="12"/>
      <c r="P1186" s="12"/>
      <c r="Q1186" s="12"/>
    </row>
    <row r="1187" spans="1:17">
      <c r="A1187" s="12" t="s">
        <v>702</v>
      </c>
      <c r="B1187" s="12">
        <v>0</v>
      </c>
      <c r="C1187" s="12">
        <v>0</v>
      </c>
      <c r="D1187" s="12">
        <v>0</v>
      </c>
      <c r="F1187" s="12"/>
      <c r="G1187" s="12">
        <v>0</v>
      </c>
      <c r="H1187" s="12">
        <f t="shared" si="56"/>
        <v>0</v>
      </c>
      <c r="M1187" s="12"/>
      <c r="N1187" s="12"/>
      <c r="O1187" s="12"/>
      <c r="P1187" s="12"/>
      <c r="Q1187" s="12"/>
    </row>
    <row r="1188" spans="1:17">
      <c r="A1188" s="12" t="s">
        <v>238</v>
      </c>
      <c r="B1188" s="12">
        <v>55687.1</v>
      </c>
      <c r="C1188" s="12">
        <v>0</v>
      </c>
      <c r="D1188" s="12">
        <v>0</v>
      </c>
      <c r="F1188" s="12">
        <v>0</v>
      </c>
      <c r="G1188" s="12">
        <v>0</v>
      </c>
      <c r="H1188" s="12">
        <f t="shared" si="56"/>
        <v>55687.1</v>
      </c>
      <c r="M1188" s="12"/>
      <c r="N1188" s="12"/>
      <c r="O1188" s="12"/>
      <c r="P1188" s="12"/>
      <c r="Q1188" s="12"/>
    </row>
    <row r="1189" spans="1:17">
      <c r="A1189" s="12" t="s">
        <v>239</v>
      </c>
      <c r="B1189" s="12">
        <v>85062</v>
      </c>
      <c r="C1189" s="12">
        <v>0</v>
      </c>
      <c r="D1189" s="12">
        <v>0</v>
      </c>
      <c r="F1189" s="12">
        <v>0</v>
      </c>
      <c r="G1189" s="12">
        <v>0</v>
      </c>
      <c r="H1189" s="12">
        <f t="shared" si="56"/>
        <v>85062</v>
      </c>
      <c r="M1189" s="12"/>
      <c r="N1189" s="12"/>
      <c r="O1189" s="12"/>
      <c r="P1189" s="12"/>
      <c r="Q1189" s="12"/>
    </row>
    <row r="1190" spans="1:17">
      <c r="A1190" s="76" t="s">
        <v>707</v>
      </c>
      <c r="B1190" s="12">
        <v>60290.35</v>
      </c>
      <c r="C1190" s="12">
        <v>0</v>
      </c>
      <c r="D1190" s="12">
        <v>0</v>
      </c>
      <c r="F1190" s="12">
        <v>0</v>
      </c>
      <c r="G1190" s="12">
        <v>0</v>
      </c>
      <c r="H1190" s="12">
        <f t="shared" si="56"/>
        <v>60290.35</v>
      </c>
      <c r="M1190" s="12"/>
      <c r="N1190" s="12"/>
      <c r="O1190" s="12"/>
      <c r="P1190" s="12"/>
      <c r="Q1190" s="12"/>
    </row>
    <row r="1191" spans="1:17">
      <c r="A1191" s="12" t="s">
        <v>240</v>
      </c>
      <c r="B1191" s="12">
        <v>133647</v>
      </c>
      <c r="C1191" s="12">
        <v>0</v>
      </c>
      <c r="D1191" s="12">
        <v>0</v>
      </c>
      <c r="F1191" s="12">
        <v>0</v>
      </c>
      <c r="G1191" s="12">
        <v>0</v>
      </c>
      <c r="H1191" s="12">
        <f t="shared" si="56"/>
        <v>133647</v>
      </c>
      <c r="M1191" s="12"/>
      <c r="N1191" s="12"/>
      <c r="O1191" s="12"/>
      <c r="P1191" s="12"/>
      <c r="Q1191" s="12"/>
    </row>
    <row r="1192" spans="1:17">
      <c r="A1192" s="12" t="s">
        <v>241</v>
      </c>
      <c r="B1192" s="12">
        <v>16921</v>
      </c>
      <c r="C1192" s="12">
        <v>0</v>
      </c>
      <c r="D1192" s="12">
        <v>0</v>
      </c>
      <c r="F1192" s="12">
        <v>0</v>
      </c>
      <c r="G1192" s="12">
        <v>0</v>
      </c>
      <c r="H1192" s="12">
        <f t="shared" si="56"/>
        <v>16921</v>
      </c>
      <c r="M1192" s="12"/>
      <c r="N1192" s="12"/>
      <c r="O1192" s="12"/>
      <c r="P1192" s="12"/>
      <c r="Q1192" s="12"/>
    </row>
    <row r="1193" spans="1:17">
      <c r="A1193" s="12" t="s">
        <v>242</v>
      </c>
      <c r="B1193" s="12">
        <v>19700</v>
      </c>
      <c r="C1193" s="12">
        <v>0</v>
      </c>
      <c r="D1193" s="12">
        <v>0</v>
      </c>
      <c r="F1193" s="12">
        <v>0</v>
      </c>
      <c r="G1193" s="12">
        <v>0</v>
      </c>
      <c r="H1193" s="12">
        <f t="shared" si="56"/>
        <v>19700</v>
      </c>
      <c r="M1193" s="12"/>
      <c r="N1193" s="12"/>
      <c r="O1193" s="12"/>
      <c r="P1193" s="12"/>
      <c r="Q1193" s="12"/>
    </row>
    <row r="1194" spans="1:17">
      <c r="A1194" s="12" t="s">
        <v>243</v>
      </c>
      <c r="B1194" s="12">
        <v>10909.5</v>
      </c>
      <c r="C1194" s="12">
        <v>0</v>
      </c>
      <c r="D1194" s="12">
        <v>0</v>
      </c>
      <c r="F1194" s="12">
        <v>0</v>
      </c>
      <c r="G1194" s="12">
        <v>0</v>
      </c>
      <c r="H1194" s="12">
        <f t="shared" si="56"/>
        <v>10909.5</v>
      </c>
      <c r="M1194" s="12"/>
      <c r="N1194" s="12"/>
      <c r="O1194" s="12"/>
      <c r="P1194" s="12"/>
      <c r="Q1194" s="12"/>
    </row>
    <row r="1195" spans="1:17">
      <c r="A1195" s="12" t="s">
        <v>244</v>
      </c>
      <c r="B1195" s="12">
        <v>8340459.4000000004</v>
      </c>
      <c r="C1195" s="12">
        <v>0</v>
      </c>
      <c r="D1195" s="12">
        <v>0</v>
      </c>
      <c r="F1195" s="12">
        <v>0</v>
      </c>
      <c r="G1195" s="12">
        <v>0</v>
      </c>
      <c r="H1195" s="12">
        <f t="shared" si="56"/>
        <v>8340459.4000000004</v>
      </c>
      <c r="M1195" s="12"/>
      <c r="N1195" s="12"/>
      <c r="O1195" s="12"/>
      <c r="P1195" s="12"/>
      <c r="Q1195" s="12"/>
    </row>
    <row r="1196" spans="1:17">
      <c r="A1196" s="12" t="s">
        <v>245</v>
      </c>
      <c r="B1196" s="12">
        <v>1510980</v>
      </c>
      <c r="C1196" s="12">
        <v>0</v>
      </c>
      <c r="D1196" s="12">
        <v>0</v>
      </c>
      <c r="F1196" s="12">
        <v>0</v>
      </c>
      <c r="G1196" s="12">
        <v>0</v>
      </c>
      <c r="H1196" s="12">
        <f t="shared" si="56"/>
        <v>1510980</v>
      </c>
      <c r="M1196" s="12"/>
      <c r="N1196" s="12"/>
      <c r="O1196" s="12"/>
      <c r="P1196" s="12"/>
      <c r="Q1196" s="12"/>
    </row>
    <row r="1197" spans="1:17">
      <c r="A1197" s="12" t="s">
        <v>246</v>
      </c>
      <c r="B1197" s="12">
        <v>243870.85</v>
      </c>
      <c r="C1197" s="12">
        <v>0</v>
      </c>
      <c r="D1197" s="12">
        <v>0</v>
      </c>
      <c r="F1197" s="12">
        <v>0</v>
      </c>
      <c r="G1197" s="12">
        <v>0</v>
      </c>
      <c r="H1197" s="12">
        <f t="shared" si="56"/>
        <v>243870.85</v>
      </c>
      <c r="M1197" s="12"/>
      <c r="N1197" s="12"/>
      <c r="O1197" s="12"/>
      <c r="P1197" s="12"/>
      <c r="Q1197" s="12"/>
    </row>
    <row r="1198" spans="1:17">
      <c r="A1198" s="12" t="s">
        <v>247</v>
      </c>
      <c r="B1198" s="12">
        <v>91192</v>
      </c>
      <c r="C1198" s="12">
        <v>0</v>
      </c>
      <c r="D1198" s="12">
        <v>0</v>
      </c>
      <c r="F1198" s="12">
        <v>0</v>
      </c>
      <c r="G1198" s="12">
        <v>0</v>
      </c>
      <c r="H1198" s="12">
        <f t="shared" si="56"/>
        <v>91192</v>
      </c>
      <c r="M1198" s="12"/>
      <c r="N1198" s="12"/>
      <c r="O1198" s="12"/>
      <c r="P1198" s="12"/>
      <c r="Q1198" s="12"/>
    </row>
    <row r="1199" spans="1:17">
      <c r="A1199" s="12" t="s">
        <v>248</v>
      </c>
      <c r="B1199" s="12">
        <v>190484</v>
      </c>
      <c r="C1199" s="12">
        <v>0</v>
      </c>
      <c r="D1199" s="12">
        <v>0</v>
      </c>
      <c r="F1199" s="12">
        <v>0</v>
      </c>
      <c r="G1199" s="12">
        <v>0</v>
      </c>
      <c r="H1199" s="12">
        <f t="shared" si="56"/>
        <v>190484</v>
      </c>
      <c r="M1199" s="12"/>
      <c r="N1199" s="12"/>
      <c r="O1199" s="12"/>
      <c r="P1199" s="12"/>
      <c r="Q1199" s="12"/>
    </row>
    <row r="1200" spans="1:17">
      <c r="A1200" s="12" t="s">
        <v>71</v>
      </c>
      <c r="B1200" s="12">
        <v>17397697</v>
      </c>
      <c r="C1200" s="12">
        <v>0</v>
      </c>
      <c r="D1200" s="12">
        <v>0</v>
      </c>
      <c r="F1200" s="12">
        <v>0</v>
      </c>
      <c r="G1200" s="12">
        <v>0</v>
      </c>
      <c r="H1200" s="12">
        <f t="shared" si="56"/>
        <v>17397697</v>
      </c>
      <c r="M1200" s="12"/>
      <c r="N1200" s="12"/>
      <c r="O1200" s="12"/>
      <c r="P1200" s="12"/>
      <c r="Q1200" s="12"/>
    </row>
    <row r="1201" spans="1:17">
      <c r="A1201" s="12" t="s">
        <v>72</v>
      </c>
      <c r="B1201" s="12">
        <v>197341</v>
      </c>
      <c r="C1201" s="12">
        <v>0</v>
      </c>
      <c r="D1201" s="12">
        <v>0</v>
      </c>
      <c r="F1201" s="12">
        <v>0</v>
      </c>
      <c r="G1201" s="12">
        <v>0</v>
      </c>
      <c r="H1201" s="12">
        <f t="shared" si="56"/>
        <v>197341</v>
      </c>
      <c r="M1201" s="12"/>
      <c r="N1201" s="12"/>
      <c r="O1201" s="12"/>
      <c r="P1201" s="12"/>
      <c r="Q1201" s="12"/>
    </row>
    <row r="1202" spans="1:17">
      <c r="A1202" s="12" t="s">
        <v>757</v>
      </c>
      <c r="B1202" s="12">
        <v>23243</v>
      </c>
      <c r="C1202" s="12">
        <v>0</v>
      </c>
      <c r="D1202" s="12">
        <v>0</v>
      </c>
      <c r="F1202" s="12">
        <v>0</v>
      </c>
      <c r="G1202" s="12">
        <v>0</v>
      </c>
      <c r="H1202" s="12">
        <f t="shared" si="56"/>
        <v>23243</v>
      </c>
      <c r="M1202" s="12"/>
      <c r="N1202" s="12"/>
      <c r="O1202" s="12"/>
      <c r="P1202" s="12"/>
      <c r="Q1202" s="12"/>
    </row>
    <row r="1203" spans="1:17">
      <c r="A1203" s="12" t="s">
        <v>758</v>
      </c>
      <c r="B1203" s="12">
        <v>21827</v>
      </c>
      <c r="C1203" s="12">
        <v>0</v>
      </c>
      <c r="D1203" s="12">
        <v>0</v>
      </c>
      <c r="F1203" s="12">
        <v>0</v>
      </c>
      <c r="G1203" s="12">
        <v>0</v>
      </c>
      <c r="H1203" s="12">
        <f t="shared" si="56"/>
        <v>21827</v>
      </c>
      <c r="M1203" s="12"/>
      <c r="N1203" s="12"/>
      <c r="O1203" s="12"/>
      <c r="P1203" s="12"/>
      <c r="Q1203" s="12"/>
    </row>
    <row r="1204" spans="1:17">
      <c r="A1204" s="12" t="s">
        <v>77</v>
      </c>
      <c r="B1204" s="12">
        <v>1496003</v>
      </c>
      <c r="C1204" s="99">
        <v>74914</v>
      </c>
      <c r="D1204" s="99">
        <v>53049</v>
      </c>
      <c r="F1204" s="12">
        <v>0</v>
      </c>
      <c r="G1204" s="12">
        <v>0</v>
      </c>
      <c r="H1204" s="12">
        <f t="shared" si="56"/>
        <v>1517868</v>
      </c>
      <c r="M1204" s="12"/>
      <c r="N1204" s="12"/>
      <c r="O1204" s="12"/>
      <c r="P1204" s="12"/>
      <c r="Q1204" s="12"/>
    </row>
    <row r="1205" spans="1:17">
      <c r="A1205" s="12" t="s">
        <v>73</v>
      </c>
      <c r="B1205" s="12">
        <v>1155864</v>
      </c>
      <c r="C1205" s="12">
        <v>0</v>
      </c>
      <c r="D1205" s="12">
        <v>0</v>
      </c>
      <c r="F1205" s="12">
        <v>0</v>
      </c>
      <c r="G1205" s="12">
        <v>-1155864</v>
      </c>
      <c r="H1205" s="12">
        <v>0</v>
      </c>
      <c r="M1205" s="12"/>
      <c r="N1205" s="12"/>
      <c r="O1205" s="12"/>
      <c r="P1205" s="12"/>
      <c r="Q1205" s="12"/>
    </row>
    <row r="1206" spans="1:17">
      <c r="A1206" s="12" t="s">
        <v>74</v>
      </c>
      <c r="B1206" s="12">
        <v>468</v>
      </c>
      <c r="C1206" s="12">
        <v>0</v>
      </c>
      <c r="D1206" s="12">
        <v>0</v>
      </c>
      <c r="F1206" s="12">
        <v>0</v>
      </c>
      <c r="G1206" s="12">
        <v>0</v>
      </c>
      <c r="H1206" s="12">
        <f t="shared" si="56"/>
        <v>468</v>
      </c>
      <c r="M1206" s="12"/>
      <c r="N1206" s="12"/>
      <c r="O1206" s="12"/>
      <c r="P1206" s="12"/>
      <c r="Q1206" s="12"/>
    </row>
    <row r="1207" spans="1:17">
      <c r="A1207" s="12" t="s">
        <v>75</v>
      </c>
      <c r="B1207" s="12">
        <v>11768321.800000001</v>
      </c>
      <c r="C1207" s="12">
        <v>0</v>
      </c>
      <c r="D1207" s="12">
        <v>0</v>
      </c>
      <c r="F1207" s="12">
        <v>0</v>
      </c>
      <c r="G1207" s="12">
        <v>0</v>
      </c>
      <c r="H1207" s="12">
        <f t="shared" si="56"/>
        <v>11768321.800000001</v>
      </c>
      <c r="M1207" s="12"/>
      <c r="N1207" s="12"/>
      <c r="O1207" s="12"/>
      <c r="P1207" s="12"/>
      <c r="Q1207" s="12"/>
    </row>
    <row r="1208" spans="1:17">
      <c r="A1208" s="12" t="s">
        <v>508</v>
      </c>
      <c r="B1208" s="12">
        <v>20500074.699999999</v>
      </c>
      <c r="C1208" s="12">
        <v>0</v>
      </c>
      <c r="D1208" s="12">
        <v>0</v>
      </c>
      <c r="F1208" s="99">
        <v>13200</v>
      </c>
      <c r="G1208" s="12">
        <v>0</v>
      </c>
      <c r="H1208" s="12">
        <f t="shared" si="56"/>
        <v>20486874.699999999</v>
      </c>
      <c r="M1208" s="12"/>
      <c r="N1208" s="12"/>
      <c r="O1208" s="12"/>
      <c r="P1208" s="12"/>
      <c r="Q1208" s="12"/>
    </row>
    <row r="1209" spans="1:17">
      <c r="A1209" s="12" t="s">
        <v>80</v>
      </c>
      <c r="B1209" s="12">
        <v>106031</v>
      </c>
      <c r="C1209" s="12">
        <v>0</v>
      </c>
      <c r="D1209" s="12">
        <v>0</v>
      </c>
      <c r="F1209" s="12">
        <v>0</v>
      </c>
      <c r="G1209" s="12">
        <v>0</v>
      </c>
      <c r="H1209" s="12">
        <f t="shared" si="56"/>
        <v>106031</v>
      </c>
      <c r="M1209" s="12"/>
      <c r="N1209" s="12"/>
      <c r="O1209" s="12"/>
      <c r="P1209" s="12"/>
      <c r="Q1209" s="12"/>
    </row>
    <row r="1210" spans="1:17">
      <c r="A1210" s="12" t="s">
        <v>79</v>
      </c>
      <c r="B1210" s="12">
        <v>8092</v>
      </c>
      <c r="C1210" s="12">
        <v>0</v>
      </c>
      <c r="D1210" s="12">
        <v>0</v>
      </c>
      <c r="F1210" s="12">
        <v>0</v>
      </c>
      <c r="G1210" s="12">
        <v>0</v>
      </c>
      <c r="H1210" s="12">
        <f t="shared" si="56"/>
        <v>8092</v>
      </c>
      <c r="M1210" s="12"/>
      <c r="N1210" s="12"/>
      <c r="O1210" s="12"/>
      <c r="P1210" s="12"/>
      <c r="Q1210" s="12"/>
    </row>
    <row r="1211" spans="1:17">
      <c r="A1211" s="12" t="s">
        <v>620</v>
      </c>
      <c r="B1211" s="12">
        <v>-24411859</v>
      </c>
      <c r="C1211" s="99">
        <v>33174152</v>
      </c>
      <c r="D1211" s="99">
        <v>0</v>
      </c>
      <c r="F1211" s="12">
        <v>0</v>
      </c>
      <c r="G1211" s="12">
        <v>0</v>
      </c>
      <c r="H1211" s="12">
        <f t="shared" si="56"/>
        <v>8762293</v>
      </c>
      <c r="M1211" s="12"/>
      <c r="N1211" s="12"/>
      <c r="O1211" s="12"/>
      <c r="P1211" s="12"/>
      <c r="Q1211" s="12"/>
    </row>
    <row r="1212" spans="1:17">
      <c r="A1212" s="12" t="s">
        <v>622</v>
      </c>
      <c r="B1212" s="12">
        <v>875659.65</v>
      </c>
      <c r="C1212" s="99">
        <v>0</v>
      </c>
      <c r="D1212" s="99">
        <v>0</v>
      </c>
      <c r="F1212" s="12">
        <v>0</v>
      </c>
      <c r="G1212" s="12">
        <v>0</v>
      </c>
      <c r="H1212" s="12">
        <f t="shared" si="56"/>
        <v>875659.65</v>
      </c>
      <c r="M1212" s="12"/>
      <c r="N1212" s="12"/>
      <c r="O1212" s="12"/>
      <c r="P1212" s="12"/>
      <c r="Q1212" s="12"/>
    </row>
    <row r="1213" spans="1:17">
      <c r="A1213" s="12" t="s">
        <v>544</v>
      </c>
      <c r="B1213" s="12"/>
      <c r="C1213" s="12">
        <v>0</v>
      </c>
      <c r="D1213" s="12">
        <v>0</v>
      </c>
      <c r="F1213" s="12">
        <v>0</v>
      </c>
      <c r="G1213" s="12"/>
      <c r="H1213" s="12">
        <f t="shared" si="56"/>
        <v>0</v>
      </c>
      <c r="M1213" s="12"/>
      <c r="N1213" s="12"/>
      <c r="O1213" s="12"/>
      <c r="P1213" s="12"/>
      <c r="Q1213" s="12"/>
    </row>
    <row r="1214" spans="1:17">
      <c r="A1214" s="13" t="s">
        <v>439</v>
      </c>
      <c r="B1214" s="13">
        <f t="shared" ref="B1214:C1214" si="57">SUM(B1174:B1213)</f>
        <v>41257094.630000003</v>
      </c>
      <c r="C1214" s="13">
        <f t="shared" si="57"/>
        <v>82749066</v>
      </c>
      <c r="D1214" s="13">
        <f>SUM(D1174:D1213)</f>
        <v>49553049</v>
      </c>
      <c r="F1214" s="13">
        <f>SUM(F1174:F1213)</f>
        <v>13200</v>
      </c>
      <c r="G1214" s="13">
        <f>SUM(G1174:G1213)</f>
        <v>-1155864</v>
      </c>
      <c r="H1214" s="13">
        <f>SUM(H1174:H1213)</f>
        <v>73284047.63000001</v>
      </c>
      <c r="I1214" s="13" t="s">
        <v>544</v>
      </c>
      <c r="M1214" s="13" t="s">
        <v>544</v>
      </c>
      <c r="N1214" s="13" t="s">
        <v>544</v>
      </c>
      <c r="O1214" s="13" t="s">
        <v>544</v>
      </c>
      <c r="P1214" s="13" t="s">
        <v>544</v>
      </c>
      <c r="Q1214" s="13" t="s">
        <v>544</v>
      </c>
    </row>
    <row r="1215" spans="1:17">
      <c r="A1215" s="13"/>
      <c r="B1215" s="12">
        <v>0</v>
      </c>
      <c r="C1215" s="12">
        <v>0</v>
      </c>
      <c r="D1215" s="12">
        <v>0</v>
      </c>
      <c r="F1215" s="12">
        <v>0</v>
      </c>
      <c r="G1215" s="12">
        <v>0</v>
      </c>
      <c r="H1215" s="12">
        <f t="shared" si="56"/>
        <v>0</v>
      </c>
      <c r="K1215" s="12" t="s">
        <v>544</v>
      </c>
      <c r="L1215" s="12"/>
      <c r="M1215" s="12" t="s">
        <v>544</v>
      </c>
      <c r="N1215" s="12"/>
      <c r="O1215" s="12"/>
      <c r="P1215" s="12"/>
      <c r="Q1215" s="12"/>
    </row>
    <row r="1216" spans="1:17">
      <c r="A1216" s="13"/>
      <c r="B1216" s="12"/>
      <c r="C1216" s="12">
        <v>0</v>
      </c>
      <c r="D1216" s="12">
        <v>0</v>
      </c>
      <c r="F1216" s="12">
        <v>0</v>
      </c>
      <c r="G1216" s="12">
        <v>0</v>
      </c>
      <c r="H1216" s="12">
        <f t="shared" si="56"/>
        <v>0</v>
      </c>
      <c r="K1216" s="12" t="s">
        <v>544</v>
      </c>
      <c r="L1216" s="12"/>
      <c r="M1216" s="12"/>
      <c r="N1216" s="12"/>
      <c r="O1216" s="12"/>
      <c r="P1216" s="12"/>
      <c r="Q1216" s="12"/>
    </row>
    <row r="1217" spans="1:17" ht="13.5" thickBot="1">
      <c r="A1217" s="13" t="s">
        <v>611</v>
      </c>
      <c r="B1217" s="81">
        <f>SUM(-B1214+B1164)</f>
        <v>2007711704.46</v>
      </c>
      <c r="C1217" s="81">
        <f>SUM(C1214+C1164)</f>
        <v>1955503511.0899999</v>
      </c>
      <c r="D1217" s="81">
        <f>SUM(D1214+D1164)</f>
        <v>949442120</v>
      </c>
      <c r="E1217" s="81">
        <f>SUM(E1214+E1164)</f>
        <v>7962761</v>
      </c>
      <c r="F1217" s="81">
        <f>SUM(F1164-F1214)</f>
        <v>44633328</v>
      </c>
      <c r="G1217" s="81">
        <v>1527786</v>
      </c>
      <c r="H1217" s="81">
        <f>H1164-+H1214</f>
        <v>1039872386.9700001</v>
      </c>
      <c r="I1217" s="181" t="e">
        <f>#REF!</f>
        <v>#REF!</v>
      </c>
      <c r="J1217" s="117" t="s">
        <v>770</v>
      </c>
      <c r="K1217" s="81" t="s">
        <v>544</v>
      </c>
      <c r="L1217" s="81" t="s">
        <v>544</v>
      </c>
      <c r="M1217" s="81" t="s">
        <v>544</v>
      </c>
      <c r="N1217" s="81" t="s">
        <v>544</v>
      </c>
      <c r="O1217" s="81" t="s">
        <v>544</v>
      </c>
      <c r="P1217" s="81" t="s">
        <v>544</v>
      </c>
      <c r="Q1217" s="81" t="s">
        <v>544</v>
      </c>
    </row>
    <row r="1218" spans="1:17" ht="13.5" thickTop="1">
      <c r="C1218" s="185"/>
      <c r="H1218" s="17"/>
      <c r="I1218" s="181" t="e">
        <f>#REF!</f>
        <v>#REF!</v>
      </c>
      <c r="J1218" s="117" t="s">
        <v>771</v>
      </c>
    </row>
    <row r="1219" spans="1:17">
      <c r="C1219" s="181"/>
      <c r="F1219" s="181"/>
    </row>
    <row r="1220" spans="1:17">
      <c r="C1220" s="181">
        <f>C1219-C1218</f>
        <v>0</v>
      </c>
      <c r="H1220" s="181"/>
      <c r="I1220" s="181" t="e">
        <f>+I1218-+I1217</f>
        <v>#REF!</v>
      </c>
    </row>
    <row r="1221" spans="1:17">
      <c r="H1221" s="181"/>
    </row>
    <row r="1222" spans="1:17">
      <c r="I1222" s="181" t="e">
        <f>+I1220+H1217</f>
        <v>#REF!</v>
      </c>
      <c r="J1222" s="117" t="s">
        <v>768</v>
      </c>
    </row>
    <row r="1238" spans="1:4">
      <c r="D1238" s="333"/>
    </row>
    <row r="1242" spans="1:4">
      <c r="A1242" s="144" t="s">
        <v>981</v>
      </c>
      <c r="C1242" s="113" t="s">
        <v>964</v>
      </c>
    </row>
    <row r="1243" spans="1:4">
      <c r="A1243" s="144"/>
      <c r="C1243" s="113"/>
    </row>
    <row r="1244" spans="1:4">
      <c r="B1244" s="127" t="s">
        <v>251</v>
      </c>
      <c r="C1244" s="127" t="s">
        <v>252</v>
      </c>
    </row>
    <row r="1245" spans="1:4">
      <c r="B1245" s="127"/>
      <c r="C1245" s="127"/>
    </row>
    <row r="1246" spans="1:4">
      <c r="A1246" s="46" t="s">
        <v>958</v>
      </c>
    </row>
    <row r="1247" spans="1:4">
      <c r="A1247" s="46" t="s">
        <v>959</v>
      </c>
    </row>
    <row r="1248" spans="1:4">
      <c r="A1248" s="46" t="s">
        <v>960</v>
      </c>
    </row>
    <row r="1249" spans="1:3">
      <c r="A1249" s="46" t="s">
        <v>961</v>
      </c>
    </row>
    <row r="1250" spans="1:3">
      <c r="A1250" s="46" t="s">
        <v>962</v>
      </c>
    </row>
    <row r="1251" spans="1:3">
      <c r="A1251" s="46" t="s">
        <v>963</v>
      </c>
      <c r="B1251" s="14">
        <v>231600000</v>
      </c>
      <c r="C1251" s="14">
        <v>231600000</v>
      </c>
    </row>
    <row r="1252" spans="1:3">
      <c r="A1252" s="46" t="s">
        <v>993</v>
      </c>
      <c r="B1252" s="14">
        <v>85675730</v>
      </c>
      <c r="C1252" s="14">
        <v>28160429</v>
      </c>
    </row>
    <row r="1253" spans="1:3">
      <c r="A1253" s="144" t="s">
        <v>439</v>
      </c>
      <c r="B1253" s="17">
        <f>+B1251+B1252</f>
        <v>317275730</v>
      </c>
      <c r="C1253" s="17">
        <f>+C1251+C1252</f>
        <v>259760429</v>
      </c>
    </row>
  </sheetData>
  <phoneticPr fontId="0" type="noConversion"/>
  <printOptions gridLines="1"/>
  <pageMargins left="0.53" right="0.27" top="1.1000000000000001" bottom="0.61" header="0.5" footer="0.5"/>
  <pageSetup paperSize="5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/>
  <dimension ref="A1:P85"/>
  <sheetViews>
    <sheetView topLeftCell="A22" zoomScale="71" zoomScaleNormal="71" workbookViewId="0">
      <selection activeCell="G50" sqref="G50"/>
    </sheetView>
  </sheetViews>
  <sheetFormatPr defaultRowHeight="12.75"/>
  <cols>
    <col min="1" max="1" width="58.140625" style="19" customWidth="1"/>
    <col min="2" max="2" width="9.85546875" style="19" customWidth="1"/>
    <col min="3" max="3" width="14.5703125" style="19" customWidth="1"/>
    <col min="4" max="4" width="19.42578125" style="19" hidden="1" customWidth="1"/>
    <col min="5" max="5" width="26.7109375" style="19" customWidth="1"/>
    <col min="6" max="6" width="29.85546875" style="19" customWidth="1"/>
    <col min="7" max="7" width="18.140625" style="19" customWidth="1"/>
    <col min="8" max="8" width="21.28515625" style="19" bestFit="1" customWidth="1"/>
    <col min="9" max="9" width="21.42578125" style="19" bestFit="1" customWidth="1"/>
    <col min="10" max="12" width="9.140625" style="19"/>
    <col min="13" max="13" width="26.28515625" style="19" customWidth="1"/>
    <col min="14" max="14" width="16" style="19" bestFit="1" customWidth="1"/>
    <col min="15" max="15" width="21.28515625" style="19" bestFit="1" customWidth="1"/>
    <col min="16" max="16384" width="9.140625" style="19"/>
  </cols>
  <sheetData>
    <row r="1" spans="1:16" ht="19.5">
      <c r="F1" s="307" t="s">
        <v>868</v>
      </c>
    </row>
    <row r="3" spans="1:16" ht="15.75">
      <c r="A3" s="187"/>
      <c r="B3" s="187"/>
      <c r="C3" s="187" t="s">
        <v>258</v>
      </c>
      <c r="D3" s="187"/>
      <c r="E3" s="187"/>
      <c r="F3" s="187"/>
    </row>
    <row r="4" spans="1:16" ht="15.75">
      <c r="A4" s="187"/>
      <c r="B4" s="187"/>
      <c r="C4" s="188" t="s">
        <v>67</v>
      </c>
      <c r="D4" s="187"/>
      <c r="E4" s="187"/>
      <c r="F4" s="187"/>
    </row>
    <row r="5" spans="1:16" ht="15.75">
      <c r="A5" s="187"/>
      <c r="B5" s="187"/>
      <c r="C5" s="189" t="s">
        <v>254</v>
      </c>
      <c r="D5" s="189" t="s">
        <v>254</v>
      </c>
      <c r="E5" s="189" t="s">
        <v>254</v>
      </c>
      <c r="F5" s="190" t="s">
        <v>260</v>
      </c>
      <c r="I5" s="20" t="s">
        <v>544</v>
      </c>
    </row>
    <row r="6" spans="1:16" ht="15.75">
      <c r="A6" s="187"/>
      <c r="B6" s="191"/>
      <c r="C6" s="192" t="s">
        <v>84</v>
      </c>
      <c r="D6" s="191"/>
      <c r="E6" s="187"/>
      <c r="F6" s="187"/>
    </row>
    <row r="7" spans="1:16" ht="15.75">
      <c r="A7" s="187"/>
      <c r="B7" s="189" t="s">
        <v>544</v>
      </c>
      <c r="C7" s="189" t="s">
        <v>544</v>
      </c>
      <c r="D7" s="189" t="s">
        <v>544</v>
      </c>
      <c r="E7" s="187"/>
      <c r="F7" s="187"/>
      <c r="I7" s="20" t="s">
        <v>544</v>
      </c>
      <c r="J7" s="19" t="s">
        <v>544</v>
      </c>
      <c r="K7" s="19" t="s">
        <v>544</v>
      </c>
      <c r="L7" s="19" t="s">
        <v>544</v>
      </c>
    </row>
    <row r="8" spans="1:16" s="4" customFormat="1" ht="15.75">
      <c r="A8" s="193" t="s">
        <v>261</v>
      </c>
      <c r="B8" s="187"/>
      <c r="C8" s="194" t="s">
        <v>609</v>
      </c>
      <c r="D8" s="195" t="s">
        <v>251</v>
      </c>
      <c r="E8" s="195" t="s">
        <v>251</v>
      </c>
      <c r="F8" s="195" t="s">
        <v>252</v>
      </c>
      <c r="G8" s="19"/>
      <c r="H8" s="19"/>
      <c r="I8" s="4" t="s">
        <v>544</v>
      </c>
      <c r="J8" s="1" t="s">
        <v>544</v>
      </c>
      <c r="M8" s="8" t="s">
        <v>544</v>
      </c>
      <c r="N8" s="1" t="s">
        <v>544</v>
      </c>
      <c r="O8" s="1" t="s">
        <v>544</v>
      </c>
      <c r="P8" s="1" t="s">
        <v>544</v>
      </c>
    </row>
    <row r="9" spans="1:16" s="4" customFormat="1" ht="15.75">
      <c r="A9" s="196" t="s">
        <v>544</v>
      </c>
      <c r="B9" s="187"/>
      <c r="C9" s="197" t="s">
        <v>544</v>
      </c>
      <c r="D9" s="194" t="s">
        <v>262</v>
      </c>
      <c r="E9" s="194" t="s">
        <v>85</v>
      </c>
      <c r="F9" s="194" t="s">
        <v>263</v>
      </c>
      <c r="G9" s="19"/>
      <c r="H9" s="19"/>
      <c r="J9" s="1" t="s">
        <v>544</v>
      </c>
      <c r="M9" s="10" t="s">
        <v>544</v>
      </c>
      <c r="N9" s="4" t="s">
        <v>544</v>
      </c>
      <c r="O9" s="4" t="s">
        <v>544</v>
      </c>
    </row>
    <row r="10" spans="1:16" s="4" customFormat="1" ht="15.75">
      <c r="A10" s="196"/>
      <c r="B10" s="187"/>
      <c r="C10" s="197"/>
      <c r="D10" s="194"/>
      <c r="E10" s="194"/>
      <c r="F10" s="187"/>
      <c r="G10" s="19"/>
      <c r="H10" s="19"/>
      <c r="J10" s="1"/>
      <c r="M10" s="10"/>
    </row>
    <row r="11" spans="1:16" s="4" customFormat="1" ht="15.75">
      <c r="A11" s="7" t="s">
        <v>832</v>
      </c>
      <c r="B11" s="187"/>
      <c r="C11" s="197">
        <v>1</v>
      </c>
      <c r="D11" s="194"/>
      <c r="E11" s="194"/>
      <c r="F11" s="187"/>
      <c r="G11" s="19"/>
      <c r="H11" s="19"/>
      <c r="J11" s="1"/>
      <c r="M11" s="10"/>
    </row>
    <row r="12" spans="1:16" s="4" customFormat="1" ht="15.75">
      <c r="A12" s="7"/>
      <c r="B12" s="187"/>
      <c r="C12" s="197"/>
      <c r="D12" s="194"/>
      <c r="E12" s="194"/>
      <c r="F12" s="187"/>
      <c r="G12" s="19"/>
      <c r="H12" s="19"/>
      <c r="J12" s="1"/>
      <c r="M12" s="10"/>
    </row>
    <row r="13" spans="1:16" s="4" customFormat="1" ht="15.75">
      <c r="A13" s="47" t="s">
        <v>818</v>
      </c>
      <c r="B13" s="187"/>
      <c r="C13" s="198" t="s">
        <v>819</v>
      </c>
      <c r="D13" s="199" t="e">
        <f>#REF!</f>
        <v>#REF!</v>
      </c>
      <c r="E13" s="56">
        <v>0</v>
      </c>
      <c r="F13" s="38">
        <v>4125669052.6699991</v>
      </c>
      <c r="G13" s="19"/>
      <c r="H13" s="19"/>
      <c r="J13" s="1"/>
      <c r="M13" s="10"/>
    </row>
    <row r="14" spans="1:16" s="4" customFormat="1" ht="15.75">
      <c r="A14" s="47" t="s">
        <v>820</v>
      </c>
      <c r="B14" s="187" t="s">
        <v>544</v>
      </c>
      <c r="C14" s="198" t="s">
        <v>821</v>
      </c>
      <c r="D14" s="199" t="e">
        <f>#REF!</f>
        <v>#REF!</v>
      </c>
      <c r="E14" s="56">
        <f>'liability-sch FINAL'!B96</f>
        <v>6125591319.5100012</v>
      </c>
      <c r="F14" s="201">
        <v>1174808917.4899998</v>
      </c>
      <c r="G14" s="19"/>
      <c r="H14" s="19"/>
      <c r="J14" s="1"/>
      <c r="M14" s="10"/>
    </row>
    <row r="15" spans="1:16" s="4" customFormat="1" ht="15.75">
      <c r="A15" s="262" t="s">
        <v>982</v>
      </c>
      <c r="B15" s="187"/>
      <c r="C15" s="197" t="s">
        <v>544</v>
      </c>
      <c r="D15" s="308"/>
      <c r="E15" s="277" t="s">
        <v>544</v>
      </c>
      <c r="F15" s="202" t="s">
        <v>544</v>
      </c>
      <c r="G15" s="19"/>
      <c r="H15" s="19"/>
      <c r="J15" s="1"/>
      <c r="M15" s="10"/>
    </row>
    <row r="16" spans="1:16" s="4" customFormat="1" ht="15.75">
      <c r="A16" s="187" t="s">
        <v>990</v>
      </c>
      <c r="B16" s="187" t="s">
        <v>544</v>
      </c>
      <c r="C16" s="197" t="s">
        <v>833</v>
      </c>
      <c r="D16" s="187"/>
      <c r="E16" s="56">
        <f>231600000+85675730</f>
        <v>317275730</v>
      </c>
      <c r="F16" s="38">
        <f>231600000+28160429</f>
        <v>259760429</v>
      </c>
      <c r="G16" s="19"/>
      <c r="H16" s="19"/>
      <c r="J16" s="1"/>
      <c r="M16" s="10"/>
    </row>
    <row r="17" spans="1:13" s="4" customFormat="1" ht="15.75">
      <c r="A17" s="7" t="s">
        <v>817</v>
      </c>
      <c r="B17" s="187"/>
      <c r="C17" s="197">
        <v>7</v>
      </c>
      <c r="D17" s="194"/>
      <c r="E17" s="194"/>
      <c r="F17" s="187"/>
      <c r="G17" s="19"/>
      <c r="H17" s="19"/>
      <c r="J17" s="1"/>
      <c r="M17" s="10"/>
    </row>
    <row r="18" spans="1:13" ht="15.75">
      <c r="A18" s="47" t="s">
        <v>822</v>
      </c>
      <c r="B18" s="187" t="s">
        <v>544</v>
      </c>
      <c r="C18" s="198" t="s">
        <v>837</v>
      </c>
      <c r="D18" s="199">
        <v>0</v>
      </c>
      <c r="E18" s="56" t="e">
        <f>#REF!</f>
        <v>#REF!</v>
      </c>
      <c r="F18" s="201">
        <v>30000</v>
      </c>
      <c r="H18" s="19" t="s">
        <v>544</v>
      </c>
      <c r="I18" s="20"/>
    </row>
    <row r="19" spans="1:13" ht="15.75">
      <c r="A19" s="47" t="s">
        <v>823</v>
      </c>
      <c r="B19" s="187" t="s">
        <v>544</v>
      </c>
      <c r="C19" s="198" t="s">
        <v>838</v>
      </c>
      <c r="D19" s="187" t="e">
        <f>#REF!</f>
        <v>#REF!</v>
      </c>
      <c r="E19" s="56" t="e">
        <f>#REF!-1113156434.6</f>
        <v>#REF!</v>
      </c>
      <c r="F19" s="202">
        <f>2052574355.1-2033331013.18</f>
        <v>19243341.919999838</v>
      </c>
      <c r="G19" s="26"/>
      <c r="H19" s="20"/>
      <c r="I19" s="20"/>
    </row>
    <row r="20" spans="1:13" ht="15.75">
      <c r="A20" s="47" t="s">
        <v>824</v>
      </c>
      <c r="B20" s="187" t="s">
        <v>544</v>
      </c>
      <c r="C20" s="187"/>
      <c r="D20" s="187"/>
      <c r="E20" s="56"/>
      <c r="F20" s="202"/>
      <c r="H20" s="20"/>
      <c r="I20" s="20"/>
    </row>
    <row r="21" spans="1:13" ht="15.75">
      <c r="A21" s="47" t="s">
        <v>266</v>
      </c>
      <c r="B21" s="187" t="s">
        <v>544</v>
      </c>
      <c r="C21" s="198" t="s">
        <v>839</v>
      </c>
      <c r="D21" s="199" t="e">
        <f>#REF!</f>
        <v>#REF!</v>
      </c>
      <c r="E21" s="56" t="e">
        <f>#REF!</f>
        <v>#REF!</v>
      </c>
      <c r="F21" s="201">
        <v>102104672.02999999</v>
      </c>
      <c r="G21" s="23" t="s">
        <v>544</v>
      </c>
      <c r="H21" s="20"/>
      <c r="I21" s="20"/>
    </row>
    <row r="22" spans="1:13" ht="15.75">
      <c r="A22" s="47" t="s">
        <v>825</v>
      </c>
      <c r="B22" s="187" t="s">
        <v>544</v>
      </c>
      <c r="C22" s="198" t="s">
        <v>840</v>
      </c>
      <c r="D22" s="199" t="e">
        <f>#REF!</f>
        <v>#REF!</v>
      </c>
      <c r="E22" s="56" t="e">
        <f>#REF!+141452891</f>
        <v>#REF!</v>
      </c>
      <c r="F22" s="201">
        <v>126757664</v>
      </c>
      <c r="G22" s="19" t="s">
        <v>544</v>
      </c>
      <c r="H22" s="20"/>
      <c r="I22" s="20"/>
    </row>
    <row r="23" spans="1:13" ht="15.75">
      <c r="A23" s="47" t="s">
        <v>834</v>
      </c>
      <c r="B23" s="187" t="s">
        <v>544</v>
      </c>
      <c r="C23" s="198" t="s">
        <v>869</v>
      </c>
      <c r="D23" s="199" t="e">
        <f>#REF!</f>
        <v>#REF!</v>
      </c>
      <c r="E23" s="56" t="e">
        <f>#REF!</f>
        <v>#REF!</v>
      </c>
      <c r="F23" s="202">
        <v>944723600.18999994</v>
      </c>
      <c r="G23" s="23" t="s">
        <v>544</v>
      </c>
      <c r="H23" s="20" t="s">
        <v>544</v>
      </c>
      <c r="I23" s="20" t="s">
        <v>544</v>
      </c>
    </row>
    <row r="24" spans="1:13" ht="15.75">
      <c r="A24" s="47" t="s">
        <v>835</v>
      </c>
      <c r="B24" s="187" t="s">
        <v>544</v>
      </c>
      <c r="C24" s="198" t="s">
        <v>841</v>
      </c>
      <c r="D24" s="199" t="e">
        <f>#REF!</f>
        <v>#REF!</v>
      </c>
      <c r="E24" s="56" t="e">
        <f>#REF!</f>
        <v>#REF!</v>
      </c>
      <c r="F24" s="201">
        <v>503980</v>
      </c>
      <c r="G24" s="25" t="s">
        <v>293</v>
      </c>
      <c r="H24" s="20"/>
      <c r="I24" s="20"/>
    </row>
    <row r="25" spans="1:13" ht="15.75">
      <c r="A25" s="47" t="s">
        <v>836</v>
      </c>
      <c r="B25" s="187" t="s">
        <v>544</v>
      </c>
      <c r="C25" s="198" t="s">
        <v>842</v>
      </c>
      <c r="D25" s="187"/>
      <c r="E25" s="56">
        <f>'liability-sch FINAL'!T858</f>
        <v>1.1920928955078125E-7</v>
      </c>
      <c r="F25" s="201">
        <v>-612350221.83000004</v>
      </c>
      <c r="G25" s="19" t="s">
        <v>544</v>
      </c>
      <c r="H25" s="20"/>
      <c r="I25" s="20"/>
    </row>
    <row r="26" spans="1:13" ht="15.75">
      <c r="A26" s="187" t="s">
        <v>983</v>
      </c>
      <c r="B26" s="187" t="s">
        <v>544</v>
      </c>
      <c r="C26" s="198"/>
      <c r="D26" s="187"/>
      <c r="E26" s="56"/>
      <c r="F26" s="38"/>
      <c r="G26" s="25"/>
      <c r="H26" s="20"/>
      <c r="I26" s="20"/>
    </row>
    <row r="27" spans="1:13" ht="15.75">
      <c r="A27" s="187" t="s">
        <v>268</v>
      </c>
      <c r="B27" s="187" t="s">
        <v>544</v>
      </c>
      <c r="C27" s="198" t="s">
        <v>843</v>
      </c>
      <c r="D27" s="187"/>
      <c r="E27" s="56" t="e">
        <f>#REF!</f>
        <v>#REF!</v>
      </c>
      <c r="F27" s="38">
        <v>21216814190</v>
      </c>
      <c r="G27" s="25"/>
      <c r="H27" s="20"/>
      <c r="I27" s="20"/>
    </row>
    <row r="28" spans="1:13" ht="15.75">
      <c r="A28" s="187" t="s">
        <v>984</v>
      </c>
      <c r="B28" s="187"/>
      <c r="C28" s="198"/>
      <c r="D28" s="187"/>
      <c r="E28" s="56"/>
      <c r="F28" s="38"/>
      <c r="G28" s="25"/>
      <c r="H28" s="20"/>
      <c r="I28" s="20"/>
    </row>
    <row r="29" spans="1:13" ht="15.75">
      <c r="A29" s="187" t="s">
        <v>797</v>
      </c>
      <c r="B29" s="187"/>
      <c r="C29" s="198" t="s">
        <v>844</v>
      </c>
      <c r="D29" s="187"/>
      <c r="E29" s="56">
        <v>700000000</v>
      </c>
      <c r="F29" s="38">
        <v>0</v>
      </c>
      <c r="G29" s="25"/>
      <c r="H29" s="20"/>
      <c r="I29" s="20"/>
    </row>
    <row r="30" spans="1:13" ht="15.75">
      <c r="A30" s="187" t="s">
        <v>985</v>
      </c>
      <c r="B30" s="187"/>
      <c r="C30" s="198" t="s">
        <v>897</v>
      </c>
      <c r="D30" s="187"/>
      <c r="E30" s="305">
        <v>1113156434.5999999</v>
      </c>
      <c r="F30" s="39">
        <v>2033331013.1800001</v>
      </c>
      <c r="G30" s="25"/>
      <c r="H30" s="20"/>
      <c r="I30" s="20"/>
    </row>
    <row r="31" spans="1:13" ht="15.75">
      <c r="A31" s="262" t="s">
        <v>986</v>
      </c>
      <c r="B31" s="187"/>
      <c r="C31" s="198" t="s">
        <v>912</v>
      </c>
      <c r="D31" s="187"/>
      <c r="E31" s="277">
        <v>184110024</v>
      </c>
      <c r="F31" s="202">
        <v>541997000</v>
      </c>
      <c r="G31" s="25"/>
      <c r="H31" s="20"/>
      <c r="I31" s="20"/>
    </row>
    <row r="32" spans="1:13" ht="15.75">
      <c r="A32" s="262" t="s">
        <v>913</v>
      </c>
      <c r="B32" s="187"/>
      <c r="C32" s="198"/>
      <c r="D32" s="187"/>
      <c r="E32" s="305"/>
      <c r="F32" s="39"/>
      <c r="G32" s="25"/>
      <c r="H32" s="20"/>
      <c r="I32" s="20"/>
    </row>
    <row r="33" spans="1:9" ht="15.75">
      <c r="A33" s="187"/>
      <c r="B33" s="187"/>
      <c r="C33" s="198"/>
      <c r="D33" s="187"/>
      <c r="E33" s="305"/>
      <c r="F33" s="39"/>
      <c r="G33" s="25"/>
      <c r="H33" s="20"/>
      <c r="I33" s="20"/>
    </row>
    <row r="34" spans="1:9" ht="15.75">
      <c r="A34" s="187"/>
      <c r="B34" s="200" t="s">
        <v>439</v>
      </c>
      <c r="C34" s="198" t="s">
        <v>544</v>
      </c>
      <c r="D34" s="187"/>
      <c r="E34" s="100" t="e">
        <f>SUM(E18:E32)</f>
        <v>#REF!</v>
      </c>
      <c r="F34" s="100">
        <f>SUM(F18:F32)</f>
        <v>24373155239.490002</v>
      </c>
      <c r="G34" s="25"/>
      <c r="H34" s="20"/>
      <c r="I34" s="20"/>
    </row>
    <row r="35" spans="1:9" ht="15.75">
      <c r="A35" s="187"/>
      <c r="B35" s="187"/>
      <c r="C35" s="198"/>
      <c r="D35" s="187"/>
      <c r="E35" s="305"/>
      <c r="F35" s="39"/>
      <c r="G35" s="25"/>
      <c r="H35" s="20"/>
      <c r="I35" s="20"/>
    </row>
    <row r="36" spans="1:9" ht="16.5" thickBot="1">
      <c r="A36" s="187"/>
      <c r="B36" s="187" t="s">
        <v>544</v>
      </c>
      <c r="C36" s="190" t="s">
        <v>294</v>
      </c>
      <c r="D36" s="203" t="e">
        <f>SUM(D3:D25)</f>
        <v>#REF!</v>
      </c>
      <c r="E36" s="62" t="e">
        <f>+E14+E16+E34</f>
        <v>#REF!</v>
      </c>
      <c r="F36" s="62">
        <f>+F13+F14+F16+F34</f>
        <v>29933393638.650002</v>
      </c>
      <c r="G36" s="98" t="e">
        <f>E36-F36</f>
        <v>#REF!</v>
      </c>
      <c r="H36" s="20"/>
      <c r="I36" s="20"/>
    </row>
    <row r="37" spans="1:9" ht="16.5" thickTop="1">
      <c r="A37" s="187"/>
      <c r="B37" s="187" t="s">
        <v>544</v>
      </c>
      <c r="C37" s="190"/>
      <c r="D37" s="203"/>
      <c r="E37" s="205"/>
      <c r="F37" s="206"/>
      <c r="G37" s="22"/>
      <c r="H37" s="20"/>
      <c r="I37" s="20"/>
    </row>
    <row r="38" spans="1:9" ht="15.75">
      <c r="A38" s="187"/>
      <c r="B38" s="187" t="s">
        <v>544</v>
      </c>
      <c r="C38" s="190"/>
      <c r="D38" s="203"/>
      <c r="E38" s="207"/>
      <c r="F38" s="203"/>
      <c r="G38" s="22"/>
      <c r="H38" s="20"/>
      <c r="I38" s="20"/>
    </row>
    <row r="39" spans="1:9" ht="15.75">
      <c r="A39" s="193" t="s">
        <v>269</v>
      </c>
      <c r="B39" s="187" t="s">
        <v>544</v>
      </c>
      <c r="C39" s="194" t="s">
        <v>609</v>
      </c>
      <c r="D39" s="195" t="s">
        <v>251</v>
      </c>
      <c r="E39" s="195" t="s">
        <v>251</v>
      </c>
      <c r="F39" s="195" t="s">
        <v>252</v>
      </c>
      <c r="G39" s="22"/>
      <c r="H39" s="20"/>
      <c r="I39" s="20"/>
    </row>
    <row r="40" spans="1:9" ht="15.75">
      <c r="A40" s="187"/>
      <c r="B40" s="187" t="s">
        <v>544</v>
      </c>
      <c r="C40" s="197" t="s">
        <v>544</v>
      </c>
      <c r="D40" s="194" t="s">
        <v>262</v>
      </c>
      <c r="E40" s="194" t="s">
        <v>85</v>
      </c>
      <c r="F40" s="194" t="s">
        <v>263</v>
      </c>
      <c r="G40" s="19" t="s">
        <v>544</v>
      </c>
      <c r="H40" s="20"/>
      <c r="I40" s="20"/>
    </row>
    <row r="41" spans="1:9" ht="15.75">
      <c r="A41" s="187"/>
      <c r="B41" s="187" t="s">
        <v>544</v>
      </c>
      <c r="C41" s="198"/>
      <c r="D41" s="187"/>
      <c r="E41" s="47"/>
      <c r="F41" s="187" t="s">
        <v>544</v>
      </c>
      <c r="G41" s="25" t="s">
        <v>544</v>
      </c>
      <c r="H41" s="20"/>
      <c r="I41" s="20"/>
    </row>
    <row r="42" spans="1:9" ht="15.75">
      <c r="A42" s="45" t="s">
        <v>270</v>
      </c>
      <c r="B42" s="187" t="s">
        <v>544</v>
      </c>
      <c r="C42" s="198">
        <v>8</v>
      </c>
      <c r="D42" s="199" t="e">
        <f>#REF!</f>
        <v>#REF!</v>
      </c>
      <c r="E42" s="56" t="e">
        <f>#REF!</f>
        <v>#REF!</v>
      </c>
      <c r="F42" s="201">
        <v>4125669052.6699991</v>
      </c>
      <c r="G42" s="31" t="e">
        <f>E42-'[2]assets-sch'!T308</f>
        <v>#REF!</v>
      </c>
      <c r="H42" s="20"/>
      <c r="I42" s="20"/>
    </row>
    <row r="43" spans="1:9" ht="15.75">
      <c r="A43" s="45"/>
      <c r="B43" s="187"/>
      <c r="C43" s="198"/>
      <c r="D43" s="199"/>
      <c r="E43" s="56"/>
      <c r="F43" s="201"/>
      <c r="G43" s="31"/>
      <c r="H43" s="20"/>
      <c r="I43" s="20"/>
    </row>
    <row r="44" spans="1:9" ht="15.75">
      <c r="A44" s="193" t="s">
        <v>987</v>
      </c>
      <c r="B44" s="187"/>
      <c r="C44" s="198" t="s">
        <v>544</v>
      </c>
      <c r="D44" s="187"/>
      <c r="E44" s="202" t="s">
        <v>544</v>
      </c>
      <c r="F44" s="202" t="s">
        <v>544</v>
      </c>
      <c r="G44" s="25"/>
      <c r="H44" s="20"/>
      <c r="I44" s="20"/>
    </row>
    <row r="45" spans="1:9" ht="15.75">
      <c r="A45" s="193" t="s">
        <v>989</v>
      </c>
      <c r="B45" s="187"/>
      <c r="C45" s="198"/>
      <c r="D45" s="187"/>
      <c r="E45" s="202"/>
      <c r="F45" s="202"/>
      <c r="G45" s="25"/>
      <c r="H45" s="20"/>
      <c r="I45" s="20"/>
    </row>
    <row r="46" spans="1:9" ht="15.75">
      <c r="A46" s="193" t="s">
        <v>988</v>
      </c>
      <c r="B46" s="187"/>
      <c r="C46" s="198">
        <v>9</v>
      </c>
      <c r="D46" s="187"/>
      <c r="E46" s="202">
        <f>231600000+85675730</f>
        <v>317275730</v>
      </c>
      <c r="F46" s="202">
        <f>231600000+28160429</f>
        <v>259760429</v>
      </c>
      <c r="G46" s="25"/>
      <c r="H46" s="20"/>
      <c r="I46" s="20"/>
    </row>
    <row r="47" spans="1:9" ht="15.75">
      <c r="A47" s="193"/>
      <c r="B47" s="187"/>
      <c r="C47" s="198"/>
      <c r="D47" s="187"/>
      <c r="E47" s="202"/>
      <c r="F47" s="202"/>
      <c r="G47" s="25"/>
      <c r="H47" s="20"/>
      <c r="I47" s="20"/>
    </row>
    <row r="48" spans="1:9" ht="15.75">
      <c r="A48" s="193" t="s">
        <v>845</v>
      </c>
      <c r="B48" s="187"/>
      <c r="C48" s="198">
        <v>10</v>
      </c>
      <c r="D48" s="187"/>
      <c r="E48" s="56">
        <v>1320241132</v>
      </c>
      <c r="F48" s="201">
        <v>170490730</v>
      </c>
      <c r="G48" s="25"/>
      <c r="H48" s="20"/>
      <c r="I48" s="20"/>
    </row>
    <row r="49" spans="1:9" ht="15.75">
      <c r="A49" s="193" t="s">
        <v>826</v>
      </c>
      <c r="B49" s="187"/>
      <c r="C49" s="198">
        <v>11</v>
      </c>
      <c r="D49" s="187"/>
      <c r="E49" s="56"/>
      <c r="F49" s="202"/>
      <c r="G49" s="25"/>
      <c r="H49" s="20"/>
      <c r="I49" s="20"/>
    </row>
    <row r="50" spans="1:9" ht="15.75">
      <c r="A50" s="47" t="s">
        <v>827</v>
      </c>
      <c r="B50" s="187" t="s">
        <v>544</v>
      </c>
      <c r="C50" s="198" t="s">
        <v>846</v>
      </c>
      <c r="D50" s="199" t="e">
        <f>'[3]R-sch'!#REF!</f>
        <v>#REF!</v>
      </c>
      <c r="E50" s="56" t="e">
        <f>#REF!-85675730</f>
        <v>#REF!</v>
      </c>
      <c r="F50" s="201">
        <f>1999248433.96-28160429</f>
        <v>1971088004.96</v>
      </c>
      <c r="H50" s="20"/>
      <c r="I50" s="20"/>
    </row>
    <row r="51" spans="1:9" ht="15.75">
      <c r="A51" s="47" t="s">
        <v>828</v>
      </c>
      <c r="B51" s="187"/>
      <c r="C51" s="198" t="s">
        <v>847</v>
      </c>
      <c r="D51" s="199"/>
      <c r="E51" s="56" t="e">
        <f>#REF!</f>
        <v>#REF!</v>
      </c>
      <c r="F51" s="201">
        <v>0</v>
      </c>
      <c r="H51" s="20"/>
      <c r="I51" s="20"/>
    </row>
    <row r="52" spans="1:9" ht="15.75">
      <c r="A52" s="187" t="s">
        <v>856</v>
      </c>
      <c r="B52" s="187" t="s">
        <v>544</v>
      </c>
      <c r="C52" s="198" t="s">
        <v>866</v>
      </c>
      <c r="D52" s="199" t="e">
        <f>D23</f>
        <v>#REF!</v>
      </c>
      <c r="E52" s="56" t="e">
        <f>#REF!</f>
        <v>#REF!</v>
      </c>
      <c r="F52" s="202">
        <v>944723600.18999994</v>
      </c>
      <c r="G52" s="19" t="s">
        <v>544</v>
      </c>
      <c r="H52" s="20"/>
      <c r="I52" s="20"/>
    </row>
    <row r="53" spans="1:9" ht="15.75">
      <c r="A53" s="187" t="s">
        <v>857</v>
      </c>
      <c r="B53" s="187" t="s">
        <v>544</v>
      </c>
      <c r="C53" s="198" t="s">
        <v>848</v>
      </c>
      <c r="D53" s="199" t="e">
        <f>#REF!</f>
        <v>#REF!</v>
      </c>
      <c r="E53" s="56" t="e">
        <f>#REF!</f>
        <v>#REF!</v>
      </c>
      <c r="F53" s="201">
        <v>149387124.73000002</v>
      </c>
      <c r="G53" s="29" t="s">
        <v>544</v>
      </c>
      <c r="H53" s="20"/>
      <c r="I53" s="20"/>
    </row>
    <row r="54" spans="1:9" ht="15.75">
      <c r="A54" s="187" t="s">
        <v>858</v>
      </c>
      <c r="B54" s="187" t="s">
        <v>544</v>
      </c>
      <c r="C54" s="198" t="s">
        <v>867</v>
      </c>
      <c r="D54" s="199" t="e">
        <f>#REF!</f>
        <v>#REF!</v>
      </c>
      <c r="E54" s="56" t="e">
        <f>#REF!-73284047.63-681838048.38</f>
        <v>#REF!</v>
      </c>
      <c r="F54" s="201">
        <f>868777733.69-25619308.72-681838048.38</f>
        <v>161320376.59000003</v>
      </c>
      <c r="G54" s="20"/>
      <c r="H54" s="20"/>
      <c r="I54" s="20"/>
    </row>
    <row r="55" spans="1:9" ht="15.75">
      <c r="A55" s="187" t="s">
        <v>859</v>
      </c>
      <c r="B55" s="187" t="s">
        <v>544</v>
      </c>
      <c r="C55" s="198" t="s">
        <v>849</v>
      </c>
      <c r="D55" s="199" t="e">
        <f>#REF!</f>
        <v>#REF!</v>
      </c>
      <c r="E55" s="56" t="e">
        <f>#REF!</f>
        <v>#REF!</v>
      </c>
      <c r="F55" s="201">
        <v>523980</v>
      </c>
      <c r="G55" s="20"/>
      <c r="H55" s="20"/>
      <c r="I55" s="20"/>
    </row>
    <row r="56" spans="1:9" ht="15.75">
      <c r="A56" s="187" t="s">
        <v>860</v>
      </c>
      <c r="B56" s="187" t="s">
        <v>544</v>
      </c>
      <c r="C56" s="198" t="s">
        <v>850</v>
      </c>
      <c r="D56" s="199" t="e">
        <f>#REF!</f>
        <v>#REF!</v>
      </c>
      <c r="E56" s="56" t="e">
        <f>#REF!</f>
        <v>#REF!</v>
      </c>
      <c r="F56" s="201">
        <v>12775805.620000001</v>
      </c>
      <c r="G56" s="20"/>
      <c r="H56" s="20"/>
      <c r="I56" s="20"/>
    </row>
    <row r="57" spans="1:9" ht="15.75">
      <c r="A57" s="187" t="s">
        <v>861</v>
      </c>
      <c r="B57" s="187" t="s">
        <v>544</v>
      </c>
      <c r="C57" s="198" t="s">
        <v>851</v>
      </c>
      <c r="D57" s="199" t="e">
        <f>#REF!</f>
        <v>#REF!</v>
      </c>
      <c r="E57" s="56" t="e">
        <f>#REF!</f>
        <v>#REF!</v>
      </c>
      <c r="F57" s="201">
        <v>138778000</v>
      </c>
      <c r="G57" s="20"/>
      <c r="H57" s="20"/>
      <c r="I57" s="20"/>
    </row>
    <row r="58" spans="1:9" ht="15.75">
      <c r="A58" s="187" t="s">
        <v>862</v>
      </c>
      <c r="B58" s="187" t="s">
        <v>544</v>
      </c>
      <c r="C58" s="198" t="s">
        <v>852</v>
      </c>
      <c r="D58" s="199" t="e">
        <f>#REF!</f>
        <v>#REF!</v>
      </c>
      <c r="E58" s="56" t="e">
        <f>#REF!</f>
        <v>#REF!</v>
      </c>
      <c r="F58" s="201">
        <v>1966620</v>
      </c>
    </row>
    <row r="59" spans="1:9" ht="15.75">
      <c r="A59" s="187" t="s">
        <v>863</v>
      </c>
      <c r="B59" s="187" t="s">
        <v>544</v>
      </c>
      <c r="C59" s="198" t="s">
        <v>853</v>
      </c>
      <c r="D59" s="199" t="e">
        <f>#REF!</f>
        <v>#REF!</v>
      </c>
      <c r="E59" s="56" t="e">
        <f>#REF!</f>
        <v>#REF!</v>
      </c>
      <c r="F59" s="202">
        <v>6467679.5199999958</v>
      </c>
    </row>
    <row r="60" spans="1:9" ht="15.75">
      <c r="A60" s="187" t="s">
        <v>864</v>
      </c>
      <c r="B60" s="187" t="s">
        <v>544</v>
      </c>
      <c r="C60" s="198" t="s">
        <v>854</v>
      </c>
      <c r="D60" s="199" t="e">
        <f>#REF!</f>
        <v>#REF!</v>
      </c>
      <c r="E60" s="56" t="e">
        <f>#REF!</f>
        <v>#REF!</v>
      </c>
      <c r="F60" s="202">
        <v>66170688.270000003</v>
      </c>
      <c r="G60" s="26"/>
    </row>
    <row r="61" spans="1:9" ht="15.75">
      <c r="A61" s="187" t="s">
        <v>865</v>
      </c>
      <c r="B61" s="187"/>
      <c r="C61" s="198"/>
      <c r="D61" s="187"/>
      <c r="E61" s="56"/>
      <c r="F61" s="202"/>
    </row>
    <row r="62" spans="1:9" ht="15.75">
      <c r="A62" s="187" t="s">
        <v>268</v>
      </c>
      <c r="B62" s="187"/>
      <c r="C62" s="198" t="s">
        <v>855</v>
      </c>
      <c r="D62" s="187"/>
      <c r="E62" s="56" t="e">
        <f>#REF!</f>
        <v>#REF!</v>
      </c>
      <c r="F62" s="202">
        <v>21216814190</v>
      </c>
    </row>
    <row r="63" spans="1:9" ht="15.75">
      <c r="A63" s="187" t="s">
        <v>914</v>
      </c>
      <c r="B63" s="187"/>
      <c r="C63" s="198" t="s">
        <v>915</v>
      </c>
      <c r="D63" s="187"/>
      <c r="E63" s="56">
        <v>73284047.629999995</v>
      </c>
      <c r="F63" s="202">
        <v>25619308.719999999</v>
      </c>
    </row>
    <row r="64" spans="1:9" ht="15.75">
      <c r="A64" s="187" t="s">
        <v>939</v>
      </c>
      <c r="B64" s="187"/>
      <c r="C64" s="198" t="s">
        <v>940</v>
      </c>
      <c r="D64" s="187"/>
      <c r="E64" s="56">
        <v>681838048.38</v>
      </c>
      <c r="F64" s="56">
        <v>681838048.38</v>
      </c>
    </row>
    <row r="65" spans="1:7" ht="15.75">
      <c r="A65" s="187"/>
      <c r="B65" s="187"/>
      <c r="C65" s="198"/>
      <c r="D65" s="187"/>
      <c r="E65" s="56"/>
      <c r="F65" s="202"/>
    </row>
    <row r="66" spans="1:7" ht="15.75">
      <c r="A66" s="187"/>
      <c r="B66" s="200" t="s">
        <v>439</v>
      </c>
      <c r="C66" s="198"/>
      <c r="D66" s="187"/>
      <c r="E66" s="59" t="e">
        <f>SUM(E50:E64)</f>
        <v>#REF!</v>
      </c>
      <c r="F66" s="59">
        <f>SUM(F50:F64)</f>
        <v>25377473426.980003</v>
      </c>
      <c r="G66" s="306"/>
    </row>
    <row r="67" spans="1:7" ht="15.75">
      <c r="A67" s="187"/>
      <c r="B67" s="187"/>
      <c r="C67" s="198"/>
      <c r="D67" s="187"/>
      <c r="E67" s="56"/>
      <c r="F67" s="202"/>
    </row>
    <row r="68" spans="1:7" ht="16.5" thickBot="1">
      <c r="A68" s="187"/>
      <c r="B68" s="187"/>
      <c r="C68" s="190" t="s">
        <v>294</v>
      </c>
      <c r="D68" s="203" t="e">
        <f>SUM(D42:D60)</f>
        <v>#REF!</v>
      </c>
      <c r="E68" s="62" t="e">
        <f>E42+E46+E66+E48</f>
        <v>#REF!</v>
      </c>
      <c r="F68" s="62">
        <f>+F46+F42+F66+F48</f>
        <v>29933393638.650002</v>
      </c>
      <c r="G68" s="31" t="e">
        <f>E68-F68</f>
        <v>#REF!</v>
      </c>
    </row>
    <row r="69" spans="1:7" ht="16.5" thickTop="1">
      <c r="A69" s="187"/>
      <c r="B69" s="187"/>
      <c r="C69" s="187"/>
      <c r="D69" s="187"/>
      <c r="E69" s="208"/>
      <c r="F69" s="209"/>
    </row>
    <row r="70" spans="1:7" ht="15.75">
      <c r="A70" s="187"/>
      <c r="B70" s="187"/>
      <c r="C70" s="187"/>
      <c r="D70" s="187"/>
      <c r="E70" s="210" t="e">
        <f>+E36-E68</f>
        <v>#REF!</v>
      </c>
      <c r="F70" s="211">
        <f>+F36-F68</f>
        <v>0</v>
      </c>
    </row>
    <row r="71" spans="1:7" ht="15.75">
      <c r="A71" s="187"/>
      <c r="B71" s="187"/>
      <c r="C71" s="187"/>
      <c r="D71" s="187"/>
      <c r="E71" s="47"/>
      <c r="F71" s="187"/>
    </row>
    <row r="72" spans="1:7" ht="15.75">
      <c r="A72" s="212" t="s">
        <v>563</v>
      </c>
      <c r="B72" s="43" t="s">
        <v>534</v>
      </c>
      <c r="C72" s="43"/>
      <c r="D72" s="200"/>
      <c r="E72" s="48"/>
      <c r="F72" s="195" t="s">
        <v>783</v>
      </c>
    </row>
    <row r="73" spans="1:7" ht="15.75">
      <c r="A73" s="213" t="s">
        <v>12</v>
      </c>
      <c r="B73" s="213" t="s">
        <v>69</v>
      </c>
      <c r="C73" s="77"/>
      <c r="D73" s="187"/>
      <c r="E73" s="47"/>
      <c r="F73" s="214" t="s">
        <v>358</v>
      </c>
    </row>
    <row r="74" spans="1:7" ht="15.75">
      <c r="A74" s="213" t="s">
        <v>276</v>
      </c>
      <c r="B74" s="213" t="s">
        <v>258</v>
      </c>
      <c r="C74" s="77"/>
      <c r="D74" s="187"/>
      <c r="E74" s="47"/>
      <c r="F74" s="214" t="s">
        <v>258</v>
      </c>
    </row>
    <row r="75" spans="1:7" ht="15.75">
      <c r="A75" s="197" t="s">
        <v>544</v>
      </c>
      <c r="B75" s="77" t="s">
        <v>136</v>
      </c>
      <c r="C75" s="77"/>
      <c r="D75" s="187"/>
      <c r="E75" s="47"/>
      <c r="F75" s="77" t="s">
        <v>558</v>
      </c>
    </row>
    <row r="76" spans="1:7" ht="15.75">
      <c r="A76" s="197" t="s">
        <v>544</v>
      </c>
      <c r="B76" s="187" t="s">
        <v>135</v>
      </c>
      <c r="C76" s="77"/>
      <c r="D76" s="187"/>
      <c r="E76" s="47"/>
      <c r="F76" s="197" t="s">
        <v>135</v>
      </c>
    </row>
    <row r="77" spans="1:7">
      <c r="B77" s="34"/>
      <c r="E77" s="30"/>
    </row>
    <row r="78" spans="1:7">
      <c r="B78" s="19" t="s">
        <v>544</v>
      </c>
      <c r="E78" s="30"/>
    </row>
    <row r="79" spans="1:7">
      <c r="E79" s="30"/>
    </row>
    <row r="80" spans="1:7">
      <c r="E80" s="30"/>
    </row>
    <row r="81" spans="5:6">
      <c r="E81" s="30"/>
      <c r="F81" s="23" t="s">
        <v>544</v>
      </c>
    </row>
    <row r="82" spans="5:6">
      <c r="E82" s="30"/>
    </row>
    <row r="83" spans="5:6">
      <c r="E83" s="30"/>
    </row>
    <row r="84" spans="5:6">
      <c r="E84" s="30"/>
    </row>
    <row r="85" spans="5:6">
      <c r="E85" s="30"/>
    </row>
  </sheetData>
  <phoneticPr fontId="0" type="noConversion"/>
  <pageMargins left="1.03" right="0.33" top="1.26" bottom="0.6" header="0.5" footer="0.5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G120"/>
  <sheetViews>
    <sheetView tabSelected="1" topLeftCell="A97" workbookViewId="0">
      <selection activeCell="A3" sqref="A3:G118"/>
    </sheetView>
  </sheetViews>
  <sheetFormatPr defaultRowHeight="12.75"/>
  <cols>
    <col min="1" max="1" width="18.85546875" customWidth="1"/>
    <col min="2" max="2" width="14.140625" customWidth="1"/>
    <col min="3" max="3" width="12" customWidth="1"/>
    <col min="4" max="4" width="13.140625" customWidth="1"/>
    <col min="5" max="5" width="15" customWidth="1"/>
    <col min="6" max="6" width="14" customWidth="1"/>
    <col min="7" max="7" width="16.140625" customWidth="1"/>
  </cols>
  <sheetData>
    <row r="3" spans="1:7">
      <c r="A3" s="5"/>
      <c r="B3" s="5"/>
      <c r="C3" s="5"/>
      <c r="D3" s="1" t="s">
        <v>788</v>
      </c>
      <c r="E3" s="5"/>
      <c r="F3" s="5"/>
      <c r="G3" s="5"/>
    </row>
    <row r="4" spans="1:7">
      <c r="A4" s="5"/>
      <c r="B4" s="5"/>
      <c r="C4" s="5"/>
      <c r="D4" s="5"/>
      <c r="E4" s="5"/>
      <c r="F4" s="5"/>
      <c r="G4" s="8" t="s">
        <v>789</v>
      </c>
    </row>
    <row r="5" spans="1:7">
      <c r="A5" s="5"/>
      <c r="B5" s="5"/>
      <c r="C5" s="5"/>
      <c r="D5" s="5"/>
      <c r="E5" s="5"/>
      <c r="F5" s="5"/>
      <c r="G5" s="8" t="s">
        <v>790</v>
      </c>
    </row>
    <row r="6" spans="1:7">
      <c r="A6" s="2" t="s">
        <v>544</v>
      </c>
      <c r="B6" s="5"/>
      <c r="C6" s="5"/>
      <c r="D6" s="5"/>
      <c r="E6" s="5"/>
      <c r="F6" s="5"/>
      <c r="G6" s="214" t="s">
        <v>544</v>
      </c>
    </row>
    <row r="7" spans="1:7">
      <c r="A7" s="5" t="s">
        <v>872</v>
      </c>
      <c r="B7" s="5"/>
      <c r="C7" s="5"/>
      <c r="D7" s="5"/>
      <c r="E7" s="1" t="s">
        <v>873</v>
      </c>
      <c r="F7" s="5"/>
      <c r="G7" s="214">
        <v>1</v>
      </c>
    </row>
    <row r="8" spans="1:7">
      <c r="A8" s="5"/>
      <c r="B8" s="5"/>
      <c r="C8" s="5"/>
      <c r="D8" s="5"/>
      <c r="E8" s="1"/>
      <c r="F8" s="5"/>
      <c r="G8" s="6"/>
    </row>
    <row r="9" spans="1:7">
      <c r="A9" s="2" t="s">
        <v>874</v>
      </c>
      <c r="B9" s="5"/>
      <c r="C9" s="5"/>
      <c r="D9" s="5"/>
      <c r="E9" s="1" t="s">
        <v>875</v>
      </c>
      <c r="F9" s="5"/>
      <c r="G9" s="214">
        <v>2</v>
      </c>
    </row>
    <row r="10" spans="1:7">
      <c r="A10" s="5"/>
      <c r="B10" s="5"/>
      <c r="C10" s="5"/>
      <c r="D10" s="5"/>
      <c r="E10" s="1"/>
      <c r="F10" s="5"/>
      <c r="G10" s="6"/>
    </row>
    <row r="11" spans="1:7">
      <c r="A11" s="2" t="s">
        <v>876</v>
      </c>
      <c r="B11" s="5"/>
      <c r="C11" s="5"/>
      <c r="D11" s="5"/>
      <c r="E11" s="1" t="s">
        <v>877</v>
      </c>
      <c r="F11" s="5"/>
      <c r="G11" s="214" t="s">
        <v>996</v>
      </c>
    </row>
    <row r="12" spans="1:7">
      <c r="A12" s="5"/>
      <c r="B12" s="5"/>
      <c r="C12" s="5"/>
      <c r="D12" s="5"/>
      <c r="E12" s="1"/>
      <c r="F12" s="5"/>
      <c r="G12" s="6"/>
    </row>
    <row r="13" spans="1:7">
      <c r="A13" s="2" t="s">
        <v>878</v>
      </c>
      <c r="B13" s="5"/>
      <c r="C13" s="5"/>
      <c r="D13" s="5"/>
      <c r="E13" s="5"/>
      <c r="F13" s="5"/>
      <c r="G13" s="214" t="s">
        <v>997</v>
      </c>
    </row>
    <row r="14" spans="1:7">
      <c r="A14" s="5"/>
      <c r="B14" s="5"/>
      <c r="C14" s="5"/>
      <c r="D14" s="5"/>
      <c r="E14" s="5"/>
      <c r="F14" s="5"/>
      <c r="G14" s="6"/>
    </row>
    <row r="15" spans="1:7">
      <c r="A15" s="2" t="s">
        <v>879</v>
      </c>
      <c r="B15" s="5"/>
      <c r="C15" s="5"/>
      <c r="D15" s="5"/>
      <c r="E15" s="1" t="s">
        <v>880</v>
      </c>
      <c r="F15" s="5"/>
      <c r="G15" s="214">
        <v>67</v>
      </c>
    </row>
    <row r="16" spans="1:7">
      <c r="A16" s="2"/>
      <c r="B16" s="5"/>
      <c r="C16" s="5"/>
      <c r="D16" s="5"/>
      <c r="E16" s="1"/>
      <c r="F16" s="5"/>
      <c r="G16" s="214"/>
    </row>
    <row r="17" spans="1:7">
      <c r="A17" s="2" t="s">
        <v>805</v>
      </c>
      <c r="B17" s="5"/>
      <c r="C17" s="5"/>
      <c r="D17" s="5"/>
      <c r="E17" s="1" t="s">
        <v>909</v>
      </c>
      <c r="F17" s="5"/>
      <c r="G17" s="214">
        <v>68</v>
      </c>
    </row>
    <row r="18" spans="1:7">
      <c r="A18" s="2"/>
      <c r="B18" s="5"/>
      <c r="C18" s="5"/>
      <c r="D18" s="5"/>
      <c r="E18" s="1"/>
      <c r="F18" s="5"/>
      <c r="G18" s="214"/>
    </row>
    <row r="19" spans="1:7">
      <c r="A19" s="2" t="s">
        <v>881</v>
      </c>
      <c r="B19" s="5"/>
      <c r="C19" s="5"/>
      <c r="D19" s="5"/>
      <c r="E19" s="1" t="s">
        <v>910</v>
      </c>
      <c r="F19" s="5"/>
      <c r="G19" s="214" t="s">
        <v>998</v>
      </c>
    </row>
    <row r="20" spans="1:7">
      <c r="A20" s="5"/>
      <c r="B20" s="5"/>
      <c r="C20" s="5"/>
      <c r="D20" s="5"/>
      <c r="E20" s="5"/>
      <c r="F20" s="5"/>
      <c r="G20" s="6"/>
    </row>
    <row r="21" spans="1:7">
      <c r="A21" s="3" t="s">
        <v>792</v>
      </c>
      <c r="B21" s="5"/>
      <c r="C21" s="5"/>
      <c r="D21" s="5"/>
      <c r="E21" s="5"/>
      <c r="F21" s="8" t="s">
        <v>609</v>
      </c>
      <c r="G21" s="6"/>
    </row>
    <row r="22" spans="1:7">
      <c r="A22" s="5"/>
      <c r="B22" s="5"/>
      <c r="C22" s="5"/>
      <c r="D22" s="5"/>
      <c r="E22" s="5"/>
      <c r="F22" s="8" t="s">
        <v>806</v>
      </c>
      <c r="G22" s="6"/>
    </row>
    <row r="23" spans="1:7">
      <c r="A23" s="5"/>
      <c r="B23" s="5"/>
      <c r="C23" s="5"/>
      <c r="D23" s="5"/>
      <c r="E23" s="5"/>
      <c r="F23" s="6"/>
      <c r="G23" s="6"/>
    </row>
    <row r="24" spans="1:7">
      <c r="A24" s="2" t="s">
        <v>264</v>
      </c>
      <c r="B24" s="5"/>
      <c r="C24" s="5"/>
      <c r="D24" s="5"/>
      <c r="E24" s="5"/>
      <c r="F24" s="214" t="s">
        <v>882</v>
      </c>
      <c r="G24" s="214">
        <v>3</v>
      </c>
    </row>
    <row r="25" spans="1:7">
      <c r="A25" s="5"/>
      <c r="B25" s="5"/>
      <c r="C25" s="5"/>
      <c r="D25" s="5"/>
      <c r="E25" s="5"/>
      <c r="F25" s="6"/>
      <c r="G25" s="6"/>
    </row>
    <row r="26" spans="1:7">
      <c r="A26" s="2" t="s">
        <v>360</v>
      </c>
      <c r="B26" s="5"/>
      <c r="C26" s="5"/>
      <c r="D26" s="5"/>
      <c r="E26" s="5"/>
      <c r="F26" s="214" t="s">
        <v>883</v>
      </c>
      <c r="G26" s="214">
        <v>4</v>
      </c>
    </row>
    <row r="27" spans="1:7">
      <c r="A27" s="5"/>
      <c r="B27" s="5"/>
      <c r="C27" s="5"/>
      <c r="D27" s="5"/>
      <c r="E27" s="5"/>
      <c r="F27" s="6" t="s">
        <v>544</v>
      </c>
      <c r="G27" s="6"/>
    </row>
    <row r="28" spans="1:7">
      <c r="A28" s="2" t="s">
        <v>303</v>
      </c>
      <c r="B28" s="5"/>
      <c r="C28" s="5"/>
      <c r="D28" s="5"/>
      <c r="E28" s="5"/>
      <c r="F28" s="214" t="s">
        <v>884</v>
      </c>
      <c r="G28" s="214">
        <v>5</v>
      </c>
    </row>
    <row r="29" spans="1:7">
      <c r="A29" s="5"/>
      <c r="B29" s="5"/>
      <c r="C29" s="5"/>
      <c r="D29" s="5"/>
      <c r="E29" s="5"/>
      <c r="F29" s="6"/>
      <c r="G29" s="6"/>
    </row>
    <row r="30" spans="1:7">
      <c r="A30" s="2" t="s">
        <v>951</v>
      </c>
      <c r="B30" s="5"/>
      <c r="C30" s="5"/>
      <c r="D30" s="5"/>
      <c r="E30" s="5"/>
      <c r="F30" s="6" t="s">
        <v>995</v>
      </c>
      <c r="G30" s="6">
        <v>6</v>
      </c>
    </row>
    <row r="31" spans="1:7">
      <c r="A31" s="5"/>
      <c r="B31" s="5"/>
      <c r="C31" s="5"/>
      <c r="D31" s="5"/>
      <c r="E31" s="5"/>
      <c r="F31" s="6"/>
      <c r="G31" s="6"/>
    </row>
    <row r="32" spans="1:7">
      <c r="A32" s="2" t="s">
        <v>972</v>
      </c>
      <c r="B32" s="5"/>
      <c r="C32" s="5"/>
      <c r="D32" s="5"/>
      <c r="E32" s="5"/>
      <c r="F32" s="6" t="s">
        <v>952</v>
      </c>
      <c r="G32" s="214">
        <v>7</v>
      </c>
    </row>
    <row r="33" spans="1:7">
      <c r="A33" s="5"/>
      <c r="B33" s="5"/>
      <c r="C33" s="5"/>
      <c r="D33" s="5"/>
      <c r="E33" s="5"/>
      <c r="F33" s="6"/>
      <c r="G33" s="6"/>
    </row>
    <row r="34" spans="1:7">
      <c r="A34" s="2" t="s">
        <v>283</v>
      </c>
      <c r="B34" s="5"/>
      <c r="C34" s="5"/>
      <c r="D34" s="5"/>
      <c r="E34" s="5"/>
      <c r="F34" s="6" t="s">
        <v>885</v>
      </c>
      <c r="G34" s="214">
        <v>8</v>
      </c>
    </row>
    <row r="35" spans="1:7">
      <c r="A35" s="5"/>
      <c r="B35" s="5"/>
      <c r="C35" s="5"/>
      <c r="D35" s="5"/>
      <c r="E35" s="5"/>
      <c r="F35" s="6"/>
      <c r="G35" s="6"/>
    </row>
    <row r="36" spans="1:7">
      <c r="A36" s="2" t="s">
        <v>265</v>
      </c>
      <c r="B36" s="5"/>
      <c r="C36" s="5"/>
      <c r="D36" s="5"/>
      <c r="E36" s="5"/>
      <c r="F36" s="6" t="s">
        <v>886</v>
      </c>
      <c r="G36" s="6">
        <v>9</v>
      </c>
    </row>
    <row r="37" spans="1:7">
      <c r="A37" s="5"/>
      <c r="B37" s="5"/>
      <c r="C37" s="5"/>
      <c r="D37" s="5"/>
      <c r="E37" s="5"/>
      <c r="F37" s="6"/>
      <c r="G37" s="6" t="s">
        <v>544</v>
      </c>
    </row>
    <row r="38" spans="1:7">
      <c r="A38" s="2" t="s">
        <v>887</v>
      </c>
      <c r="B38" s="5"/>
      <c r="C38" s="5"/>
      <c r="D38" s="5"/>
      <c r="E38" s="5"/>
      <c r="F38" s="6" t="s">
        <v>888</v>
      </c>
      <c r="G38" s="214">
        <v>10</v>
      </c>
    </row>
    <row r="39" spans="1:7">
      <c r="A39" s="5"/>
      <c r="B39" s="5"/>
      <c r="C39" s="5"/>
      <c r="D39" s="5"/>
      <c r="E39" s="5"/>
      <c r="F39" s="6"/>
      <c r="G39" s="6"/>
    </row>
    <row r="40" spans="1:7">
      <c r="A40" s="2" t="s">
        <v>890</v>
      </c>
      <c r="B40" s="5"/>
      <c r="C40" s="5"/>
      <c r="D40" s="5"/>
      <c r="E40" s="5"/>
      <c r="F40" s="6" t="s">
        <v>889</v>
      </c>
      <c r="G40" s="214">
        <v>11</v>
      </c>
    </row>
    <row r="41" spans="1:7">
      <c r="A41" s="5"/>
      <c r="B41" s="5"/>
      <c r="C41" s="5"/>
      <c r="D41" s="5"/>
      <c r="E41" s="5"/>
      <c r="F41" s="6"/>
      <c r="G41" s="6"/>
    </row>
    <row r="42" spans="1:7">
      <c r="A42" s="2" t="s">
        <v>953</v>
      </c>
      <c r="B42" s="5"/>
      <c r="C42" s="5"/>
      <c r="D42" s="5"/>
      <c r="E42" s="5"/>
      <c r="F42" s="6" t="s">
        <v>889</v>
      </c>
      <c r="G42" s="6" t="s">
        <v>999</v>
      </c>
    </row>
    <row r="43" spans="1:7">
      <c r="A43" s="2" t="s">
        <v>544</v>
      </c>
      <c r="B43" s="5"/>
      <c r="C43" s="5"/>
      <c r="D43" s="5"/>
      <c r="E43" s="5"/>
      <c r="F43" s="6" t="s">
        <v>544</v>
      </c>
      <c r="G43" s="6" t="s">
        <v>544</v>
      </c>
    </row>
    <row r="44" spans="1:7">
      <c r="A44" s="5" t="s">
        <v>891</v>
      </c>
      <c r="B44" s="5"/>
      <c r="C44" s="5"/>
      <c r="D44" s="5"/>
      <c r="E44" s="5"/>
      <c r="F44" s="6" t="s">
        <v>889</v>
      </c>
      <c r="G44" s="214" t="s">
        <v>1000</v>
      </c>
    </row>
    <row r="45" spans="1:7">
      <c r="A45" s="2" t="s">
        <v>544</v>
      </c>
      <c r="B45" s="5"/>
      <c r="C45" s="5"/>
      <c r="D45" s="5"/>
      <c r="E45" s="5"/>
      <c r="F45" s="6" t="s">
        <v>544</v>
      </c>
      <c r="G45" s="6" t="s">
        <v>544</v>
      </c>
    </row>
    <row r="46" spans="1:7">
      <c r="A46" s="5" t="s">
        <v>541</v>
      </c>
      <c r="B46" s="5"/>
      <c r="C46" s="5"/>
      <c r="D46" s="5"/>
      <c r="E46" s="5"/>
      <c r="F46" s="6" t="s">
        <v>892</v>
      </c>
      <c r="G46" s="6">
        <v>21</v>
      </c>
    </row>
    <row r="47" spans="1:7">
      <c r="A47" s="2" t="s">
        <v>544</v>
      </c>
      <c r="B47" s="5"/>
      <c r="C47" s="5"/>
      <c r="D47" s="5"/>
      <c r="E47" s="5" t="s">
        <v>544</v>
      </c>
      <c r="F47" s="6" t="s">
        <v>544</v>
      </c>
      <c r="G47" s="214" t="s">
        <v>544</v>
      </c>
    </row>
    <row r="48" spans="1:7">
      <c r="A48" s="5" t="s">
        <v>793</v>
      </c>
      <c r="B48" s="5"/>
      <c r="C48" s="5"/>
      <c r="D48" s="5"/>
      <c r="E48" s="5"/>
      <c r="F48" s="6" t="s">
        <v>893</v>
      </c>
      <c r="G48" s="6">
        <v>22</v>
      </c>
    </row>
    <row r="49" spans="1:7">
      <c r="A49" s="2" t="s">
        <v>544</v>
      </c>
      <c r="B49" s="5"/>
      <c r="C49" s="5"/>
      <c r="D49" s="5"/>
      <c r="E49" s="5"/>
      <c r="F49" s="6" t="s">
        <v>544</v>
      </c>
      <c r="G49" s="6" t="s">
        <v>544</v>
      </c>
    </row>
    <row r="50" spans="1:7">
      <c r="A50" s="5" t="s">
        <v>973</v>
      </c>
      <c r="B50" s="5"/>
      <c r="C50" s="5"/>
      <c r="D50" s="5"/>
      <c r="E50" s="5"/>
      <c r="F50" s="6" t="s">
        <v>894</v>
      </c>
      <c r="G50" s="6">
        <v>23</v>
      </c>
    </row>
    <row r="51" spans="1:7">
      <c r="A51" s="2" t="s">
        <v>544</v>
      </c>
      <c r="B51" s="5"/>
      <c r="C51" s="5"/>
      <c r="D51" s="5"/>
      <c r="E51" s="5" t="s">
        <v>544</v>
      </c>
      <c r="F51" s="6" t="s">
        <v>544</v>
      </c>
      <c r="G51" s="6" t="s">
        <v>544</v>
      </c>
    </row>
    <row r="52" spans="1:7">
      <c r="A52" s="5" t="s">
        <v>794</v>
      </c>
      <c r="B52" s="5"/>
      <c r="C52" s="5"/>
      <c r="D52" s="5"/>
      <c r="E52" s="5"/>
      <c r="F52" s="6" t="s">
        <v>895</v>
      </c>
      <c r="G52" s="6">
        <v>24</v>
      </c>
    </row>
    <row r="53" spans="1:7">
      <c r="A53" s="2" t="s">
        <v>544</v>
      </c>
      <c r="B53" s="5"/>
      <c r="C53" s="5"/>
      <c r="D53" s="5"/>
      <c r="E53" s="5"/>
      <c r="F53" s="6" t="s">
        <v>544</v>
      </c>
      <c r="G53" s="6" t="s">
        <v>544</v>
      </c>
    </row>
    <row r="54" spans="1:7">
      <c r="A54" s="5" t="s">
        <v>974</v>
      </c>
      <c r="B54" s="5"/>
      <c r="C54" s="5"/>
      <c r="D54" s="5"/>
      <c r="E54" s="5"/>
      <c r="F54" s="6"/>
      <c r="G54" s="6"/>
    </row>
    <row r="55" spans="1:7">
      <c r="A55" s="5" t="s">
        <v>804</v>
      </c>
      <c r="B55" s="5"/>
      <c r="C55" s="5"/>
      <c r="D55" s="5"/>
      <c r="E55" s="5"/>
      <c r="F55" s="6" t="s">
        <v>896</v>
      </c>
      <c r="G55" s="6">
        <v>25</v>
      </c>
    </row>
    <row r="56" spans="1:7">
      <c r="A56" s="5"/>
      <c r="B56" s="5"/>
      <c r="C56" s="5"/>
      <c r="D56" s="5"/>
      <c r="E56" s="5"/>
      <c r="F56" s="6"/>
      <c r="G56" s="6"/>
    </row>
    <row r="57" spans="1:7">
      <c r="A57" s="2" t="s">
        <v>315</v>
      </c>
      <c r="B57" s="5"/>
      <c r="C57" s="5"/>
      <c r="D57" s="5"/>
      <c r="E57" s="5"/>
      <c r="F57" s="6">
        <v>8</v>
      </c>
      <c r="G57" s="6">
        <v>26</v>
      </c>
    </row>
    <row r="58" spans="1:7">
      <c r="A58" s="5"/>
      <c r="B58" s="5"/>
      <c r="C58" s="5"/>
      <c r="D58" s="5"/>
      <c r="E58" s="5"/>
      <c r="F58" s="6"/>
      <c r="G58" s="6"/>
    </row>
    <row r="59" spans="1:7">
      <c r="A59" s="2" t="s">
        <v>795</v>
      </c>
      <c r="B59" s="5"/>
      <c r="C59" s="5"/>
      <c r="D59" s="5"/>
      <c r="E59" s="5"/>
      <c r="F59" s="6">
        <v>8</v>
      </c>
      <c r="G59" s="214" t="s">
        <v>1001</v>
      </c>
    </row>
    <row r="60" spans="1:7">
      <c r="A60" s="5"/>
      <c r="B60" s="5"/>
      <c r="C60" s="5"/>
      <c r="D60" s="5"/>
      <c r="E60" s="5"/>
      <c r="F60" s="6"/>
      <c r="G60" s="6"/>
    </row>
    <row r="61" spans="1:7">
      <c r="A61" s="5" t="s">
        <v>965</v>
      </c>
      <c r="B61" s="5"/>
      <c r="C61" s="5"/>
      <c r="D61" s="5"/>
      <c r="E61" s="5"/>
      <c r="F61" s="6">
        <v>9</v>
      </c>
      <c r="G61" s="6">
        <v>31</v>
      </c>
    </row>
    <row r="62" spans="1:7">
      <c r="A62" s="5"/>
      <c r="B62" s="5"/>
      <c r="C62" s="5"/>
      <c r="D62" s="5"/>
      <c r="E62" s="5"/>
      <c r="F62" s="6"/>
      <c r="G62" s="6"/>
    </row>
    <row r="63" spans="1:7">
      <c r="A63" s="2" t="s">
        <v>954</v>
      </c>
      <c r="B63" s="5"/>
      <c r="C63" s="5"/>
      <c r="D63" s="5"/>
      <c r="E63" s="5"/>
      <c r="F63" s="6" t="s">
        <v>955</v>
      </c>
      <c r="G63" s="6">
        <v>32</v>
      </c>
    </row>
    <row r="64" spans="1:7">
      <c r="A64" s="5"/>
      <c r="B64" s="5"/>
      <c r="C64" s="5"/>
      <c r="D64" s="5"/>
      <c r="E64" s="5"/>
      <c r="F64" s="6"/>
      <c r="G64" s="6"/>
    </row>
    <row r="65" spans="1:7">
      <c r="A65" s="2" t="s">
        <v>911</v>
      </c>
      <c r="B65" s="5"/>
      <c r="C65" s="5"/>
      <c r="D65" s="5"/>
      <c r="E65" s="5"/>
      <c r="F65" s="6">
        <v>10</v>
      </c>
      <c r="G65" s="6">
        <v>33</v>
      </c>
    </row>
    <row r="66" spans="1:7">
      <c r="A66" s="5"/>
      <c r="B66" s="5"/>
      <c r="C66" s="5"/>
      <c r="D66" s="5"/>
      <c r="E66" s="5"/>
      <c r="F66" s="6"/>
      <c r="G66" s="6"/>
    </row>
    <row r="67" spans="1:7">
      <c r="A67" s="5" t="s">
        <v>599</v>
      </c>
      <c r="B67" s="5"/>
      <c r="C67" s="5"/>
      <c r="D67" s="5"/>
      <c r="E67" s="5"/>
      <c r="F67" s="6" t="s">
        <v>898</v>
      </c>
      <c r="G67" s="6">
        <v>34</v>
      </c>
    </row>
    <row r="68" spans="1:7">
      <c r="A68" s="5"/>
      <c r="B68" s="5"/>
      <c r="C68" s="5"/>
      <c r="D68" s="5"/>
      <c r="E68" s="5"/>
      <c r="F68" s="6"/>
      <c r="G68" s="6"/>
    </row>
    <row r="69" spans="1:7">
      <c r="A69" s="2" t="s">
        <v>284</v>
      </c>
      <c r="B69" s="5"/>
      <c r="C69" s="5"/>
      <c r="D69" s="5"/>
      <c r="E69" s="5"/>
      <c r="F69" s="6" t="s">
        <v>899</v>
      </c>
      <c r="G69" s="6">
        <v>35</v>
      </c>
    </row>
    <row r="70" spans="1:7">
      <c r="A70" s="5"/>
      <c r="B70" s="5"/>
      <c r="C70" s="5"/>
      <c r="D70" s="5"/>
      <c r="E70" s="5"/>
      <c r="F70" s="6"/>
      <c r="G70" s="6"/>
    </row>
    <row r="71" spans="1:7">
      <c r="A71" s="2" t="s">
        <v>267</v>
      </c>
      <c r="B71" s="5"/>
      <c r="C71" s="5"/>
      <c r="D71" s="5"/>
      <c r="E71" s="5"/>
      <c r="F71" s="6" t="s">
        <v>900</v>
      </c>
      <c r="G71" s="214">
        <v>36</v>
      </c>
    </row>
    <row r="72" spans="1:7">
      <c r="A72" s="5"/>
      <c r="B72" s="5"/>
      <c r="C72" s="5"/>
      <c r="D72" s="5"/>
      <c r="E72" s="5"/>
      <c r="F72" s="6"/>
      <c r="G72" s="6"/>
    </row>
    <row r="73" spans="1:7">
      <c r="A73" s="2" t="s">
        <v>292</v>
      </c>
      <c r="B73" s="5"/>
      <c r="C73" s="5"/>
      <c r="D73" s="5"/>
      <c r="E73" s="5"/>
      <c r="F73" s="6" t="s">
        <v>901</v>
      </c>
      <c r="G73" s="214">
        <v>37</v>
      </c>
    </row>
    <row r="74" spans="1:7">
      <c r="A74" s="5"/>
      <c r="B74" s="5"/>
      <c r="C74" s="5"/>
      <c r="D74" s="5"/>
      <c r="E74" s="5"/>
      <c r="F74" s="6"/>
      <c r="G74" s="6"/>
    </row>
    <row r="75" spans="1:7">
      <c r="A75" s="2" t="s">
        <v>975</v>
      </c>
      <c r="B75" s="5"/>
      <c r="C75" s="5"/>
      <c r="D75" s="5"/>
      <c r="E75" s="5"/>
      <c r="F75" s="6" t="s">
        <v>956</v>
      </c>
      <c r="G75" s="214">
        <v>38</v>
      </c>
    </row>
    <row r="76" spans="1:7">
      <c r="A76" s="5"/>
      <c r="B76" s="5"/>
      <c r="C76" s="5"/>
      <c r="D76" s="5"/>
      <c r="E76" s="5"/>
      <c r="F76" s="6"/>
      <c r="G76" s="6"/>
    </row>
    <row r="77" spans="1:7">
      <c r="A77" s="2" t="s">
        <v>598</v>
      </c>
      <c r="B77" s="5"/>
      <c r="C77" s="5"/>
      <c r="D77" s="5"/>
      <c r="E77" s="5"/>
      <c r="F77" s="6" t="s">
        <v>902</v>
      </c>
      <c r="G77" s="6">
        <v>39</v>
      </c>
    </row>
    <row r="78" spans="1:7">
      <c r="A78" s="5"/>
      <c r="B78" s="5"/>
      <c r="C78" s="5"/>
      <c r="D78" s="5"/>
      <c r="E78" s="5"/>
      <c r="F78" s="6"/>
      <c r="G78" s="6"/>
    </row>
    <row r="79" spans="1:7">
      <c r="A79" s="2" t="s">
        <v>796</v>
      </c>
      <c r="B79" s="5"/>
      <c r="C79" s="5"/>
      <c r="D79" s="5"/>
      <c r="E79" s="5"/>
      <c r="F79" s="6" t="s">
        <v>903</v>
      </c>
      <c r="G79" s="6">
        <v>40</v>
      </c>
    </row>
    <row r="80" spans="1:7">
      <c r="A80" s="5"/>
      <c r="B80" s="5"/>
      <c r="C80" s="5"/>
      <c r="D80" s="5"/>
      <c r="E80" s="5"/>
      <c r="F80" s="6"/>
      <c r="G80" s="6"/>
    </row>
    <row r="81" spans="1:7">
      <c r="A81" s="2" t="s">
        <v>976</v>
      </c>
      <c r="B81" s="5"/>
      <c r="C81" s="5"/>
      <c r="D81" s="5"/>
      <c r="E81" s="5"/>
      <c r="F81" s="6" t="s">
        <v>904</v>
      </c>
      <c r="G81" s="6">
        <v>41</v>
      </c>
    </row>
    <row r="82" spans="1:7">
      <c r="A82" s="2" t="s">
        <v>544</v>
      </c>
      <c r="B82" s="5"/>
      <c r="C82" s="5"/>
      <c r="D82" s="5"/>
      <c r="E82" s="5"/>
      <c r="F82" s="6"/>
      <c r="G82" s="6"/>
    </row>
    <row r="83" spans="1:7">
      <c r="A83" s="2" t="s">
        <v>274</v>
      </c>
      <c r="B83" s="5"/>
      <c r="C83" s="5"/>
      <c r="D83" s="5"/>
      <c r="E83" s="5"/>
      <c r="F83" s="6" t="s">
        <v>905</v>
      </c>
      <c r="G83" s="6">
        <v>42</v>
      </c>
    </row>
    <row r="84" spans="1:7">
      <c r="A84" s="5"/>
      <c r="B84" s="5"/>
      <c r="C84" s="5"/>
      <c r="D84" s="5"/>
      <c r="E84" s="5"/>
      <c r="F84" s="6"/>
      <c r="G84" s="6"/>
    </row>
    <row r="85" spans="1:7">
      <c r="A85" s="2" t="s">
        <v>275</v>
      </c>
      <c r="B85" s="5"/>
      <c r="C85" s="5"/>
      <c r="D85" s="5"/>
      <c r="E85" s="5"/>
      <c r="F85" s="6" t="s">
        <v>906</v>
      </c>
      <c r="G85" s="6">
        <v>43</v>
      </c>
    </row>
    <row r="86" spans="1:7">
      <c r="A86" s="5"/>
      <c r="B86" s="5"/>
      <c r="C86" s="5"/>
      <c r="D86" s="5"/>
      <c r="E86" s="5"/>
      <c r="F86" s="6"/>
      <c r="G86" s="6"/>
    </row>
    <row r="87" spans="1:7">
      <c r="A87" s="2" t="s">
        <v>977</v>
      </c>
      <c r="B87" s="5"/>
      <c r="C87" s="5"/>
      <c r="D87" s="5"/>
      <c r="E87" s="5"/>
      <c r="F87" s="6" t="s">
        <v>907</v>
      </c>
      <c r="G87" s="214" t="s">
        <v>1002</v>
      </c>
    </row>
    <row r="88" spans="1:7">
      <c r="A88" s="5"/>
      <c r="B88" s="5"/>
      <c r="C88" s="5"/>
      <c r="D88" s="5"/>
      <c r="E88" s="5"/>
      <c r="F88" s="6"/>
      <c r="G88" s="6"/>
    </row>
    <row r="89" spans="1:7">
      <c r="A89" s="2" t="s">
        <v>978</v>
      </c>
      <c r="B89" s="5"/>
      <c r="C89" s="5"/>
      <c r="D89" s="5"/>
      <c r="E89" s="5"/>
      <c r="F89" s="6" t="s">
        <v>908</v>
      </c>
      <c r="G89" s="6">
        <v>46</v>
      </c>
    </row>
    <row r="90" spans="1:7">
      <c r="A90" s="5"/>
      <c r="B90" s="5"/>
      <c r="C90" s="5"/>
      <c r="D90" s="5"/>
      <c r="E90" s="5"/>
      <c r="F90" s="6"/>
      <c r="G90" s="6"/>
    </row>
    <row r="91" spans="1:7">
      <c r="A91" s="5"/>
      <c r="B91" s="5"/>
      <c r="C91" s="5"/>
      <c r="D91" s="5"/>
      <c r="E91" s="5"/>
      <c r="F91" s="6"/>
      <c r="G91" s="6"/>
    </row>
    <row r="92" spans="1:7">
      <c r="A92" s="3" t="s">
        <v>1003</v>
      </c>
      <c r="B92" s="5"/>
      <c r="C92" s="5"/>
      <c r="D92" s="5"/>
      <c r="E92" s="5"/>
      <c r="F92" s="8" t="s">
        <v>609</v>
      </c>
      <c r="G92" s="6"/>
    </row>
    <row r="93" spans="1:7">
      <c r="A93" s="5"/>
      <c r="B93" s="5"/>
      <c r="C93" s="5"/>
      <c r="D93" s="5"/>
      <c r="E93" s="5"/>
      <c r="F93" s="8" t="s">
        <v>806</v>
      </c>
      <c r="G93" s="6"/>
    </row>
    <row r="94" spans="1:7">
      <c r="A94" s="5"/>
      <c r="B94" s="5"/>
      <c r="C94" s="5"/>
      <c r="D94" s="5"/>
      <c r="E94" s="5"/>
      <c r="F94" s="6"/>
      <c r="G94" s="6"/>
    </row>
    <row r="95" spans="1:7">
      <c r="A95" s="2" t="s">
        <v>1004</v>
      </c>
      <c r="B95" s="5"/>
      <c r="C95" s="5"/>
      <c r="D95" s="5"/>
      <c r="E95" s="5"/>
      <c r="F95" s="214">
        <v>13</v>
      </c>
      <c r="G95" s="214">
        <v>47</v>
      </c>
    </row>
    <row r="96" spans="1:7">
      <c r="A96" s="5"/>
      <c r="B96" s="5"/>
      <c r="C96" s="5"/>
      <c r="D96" s="5"/>
      <c r="E96" s="5"/>
      <c r="F96" s="6"/>
      <c r="G96" s="6"/>
    </row>
    <row r="97" spans="1:7">
      <c r="A97" s="2" t="s">
        <v>1005</v>
      </c>
      <c r="B97" s="5"/>
      <c r="C97" s="5"/>
      <c r="D97" s="5"/>
      <c r="E97" s="5"/>
      <c r="F97" s="214">
        <v>15</v>
      </c>
      <c r="G97" s="214">
        <v>48</v>
      </c>
    </row>
    <row r="98" spans="1:7">
      <c r="A98" s="5"/>
      <c r="B98" s="5"/>
      <c r="C98" s="5"/>
      <c r="D98" s="5"/>
      <c r="E98" s="5"/>
      <c r="F98" s="6" t="s">
        <v>544</v>
      </c>
      <c r="G98" s="6"/>
    </row>
    <row r="99" spans="1:7">
      <c r="A99" s="2" t="s">
        <v>1006</v>
      </c>
      <c r="B99" s="5"/>
      <c r="C99" s="5"/>
      <c r="D99" s="5"/>
      <c r="E99" s="5"/>
      <c r="F99" s="214">
        <v>16</v>
      </c>
      <c r="G99" s="214">
        <v>49</v>
      </c>
    </row>
    <row r="100" spans="1:7">
      <c r="A100" s="5"/>
      <c r="B100" s="5"/>
      <c r="C100" s="5"/>
      <c r="D100" s="5"/>
      <c r="E100" s="5"/>
      <c r="F100" s="6"/>
      <c r="G100" s="6"/>
    </row>
    <row r="101" spans="1:7">
      <c r="A101" s="2" t="s">
        <v>422</v>
      </c>
      <c r="B101" s="5"/>
      <c r="C101" s="5"/>
      <c r="D101" s="5"/>
      <c r="E101" s="5"/>
      <c r="F101" s="6" t="s">
        <v>1007</v>
      </c>
      <c r="G101" s="6">
        <v>50</v>
      </c>
    </row>
    <row r="102" spans="1:7">
      <c r="A102" s="5"/>
      <c r="B102" s="5"/>
      <c r="C102" s="5"/>
      <c r="D102" s="5"/>
      <c r="E102" s="5"/>
      <c r="F102" s="6"/>
      <c r="G102" s="6"/>
    </row>
    <row r="103" spans="1:7">
      <c r="A103" s="5" t="s">
        <v>436</v>
      </c>
      <c r="B103" s="5"/>
      <c r="C103" s="5"/>
      <c r="D103" s="5"/>
      <c r="E103" s="5"/>
      <c r="F103" s="6" t="s">
        <v>1008</v>
      </c>
      <c r="G103" s="6">
        <v>51</v>
      </c>
    </row>
    <row r="104" spans="1:7">
      <c r="A104" s="5"/>
      <c r="B104" s="5"/>
      <c r="C104" s="5"/>
      <c r="D104" s="5"/>
      <c r="E104" s="5"/>
      <c r="F104" s="6"/>
      <c r="G104" s="6"/>
    </row>
    <row r="105" spans="1:7">
      <c r="A105" s="5" t="s">
        <v>288</v>
      </c>
      <c r="B105" s="5"/>
      <c r="C105" s="5"/>
      <c r="D105" s="5"/>
      <c r="E105" s="5"/>
      <c r="F105" s="6" t="s">
        <v>1009</v>
      </c>
      <c r="G105" s="6">
        <v>52</v>
      </c>
    </row>
    <row r="106" spans="1:7">
      <c r="A106" s="5"/>
      <c r="B106" s="5"/>
      <c r="C106" s="5"/>
      <c r="D106" s="5"/>
      <c r="E106" s="5"/>
      <c r="F106" s="5"/>
      <c r="G106" s="6"/>
    </row>
    <row r="107" spans="1:7">
      <c r="A107" s="5" t="s">
        <v>289</v>
      </c>
      <c r="B107" s="5"/>
      <c r="C107" s="5"/>
      <c r="D107" s="5"/>
      <c r="E107" s="5"/>
      <c r="F107" s="6" t="s">
        <v>1010</v>
      </c>
      <c r="G107" s="6">
        <v>53</v>
      </c>
    </row>
    <row r="108" spans="1:7">
      <c r="A108" s="5"/>
      <c r="B108" s="5"/>
      <c r="C108" s="5"/>
      <c r="D108" s="5"/>
      <c r="E108" s="5"/>
      <c r="F108" s="5"/>
      <c r="G108" s="6"/>
    </row>
    <row r="109" spans="1:7">
      <c r="A109" s="5" t="s">
        <v>1011</v>
      </c>
      <c r="B109" s="5"/>
      <c r="C109" s="5"/>
      <c r="D109" s="5"/>
      <c r="E109" s="5"/>
      <c r="F109" s="6" t="s">
        <v>1012</v>
      </c>
      <c r="G109" s="6" t="s">
        <v>1013</v>
      </c>
    </row>
    <row r="110" spans="1:7">
      <c r="A110" s="5"/>
      <c r="B110" s="5"/>
      <c r="C110" s="5"/>
      <c r="D110" s="5"/>
      <c r="E110" s="5"/>
      <c r="F110" s="5"/>
      <c r="G110" s="6"/>
    </row>
    <row r="111" spans="1:7">
      <c r="A111" s="5" t="s">
        <v>1014</v>
      </c>
      <c r="B111" s="5"/>
      <c r="C111" s="5"/>
      <c r="D111" s="5"/>
      <c r="E111" s="5"/>
      <c r="F111" s="6" t="s">
        <v>1015</v>
      </c>
      <c r="G111" s="6" t="s">
        <v>1016</v>
      </c>
    </row>
    <row r="112" spans="1:7">
      <c r="A112" s="5"/>
      <c r="B112" s="5"/>
      <c r="C112" s="5"/>
      <c r="D112" s="5"/>
      <c r="E112" s="5"/>
      <c r="F112" s="5"/>
      <c r="G112" s="6"/>
    </row>
    <row r="113" spans="1:7">
      <c r="A113" s="5" t="s">
        <v>436</v>
      </c>
      <c r="B113" s="5"/>
      <c r="C113" s="5"/>
      <c r="D113" s="5"/>
      <c r="E113" s="5"/>
      <c r="F113" s="6" t="s">
        <v>1017</v>
      </c>
      <c r="G113" s="6">
        <v>64</v>
      </c>
    </row>
    <row r="114" spans="1:7">
      <c r="A114" s="5"/>
      <c r="B114" s="5"/>
      <c r="C114" s="5"/>
      <c r="D114" s="5"/>
      <c r="E114" s="5"/>
      <c r="F114" s="5"/>
      <c r="G114" s="6"/>
    </row>
    <row r="115" spans="1:7">
      <c r="A115" s="5" t="s">
        <v>274</v>
      </c>
      <c r="B115" s="5"/>
      <c r="C115" s="5"/>
      <c r="D115" s="5"/>
      <c r="E115" s="5"/>
      <c r="F115" s="6" t="s">
        <v>1018</v>
      </c>
      <c r="G115" s="6">
        <v>65</v>
      </c>
    </row>
    <row r="116" spans="1:7">
      <c r="A116" s="5"/>
      <c r="B116" s="5"/>
      <c r="C116" s="5"/>
      <c r="D116" s="5"/>
      <c r="E116" s="5"/>
      <c r="F116" s="5"/>
      <c r="G116" s="6"/>
    </row>
    <row r="117" spans="1:7">
      <c r="A117" s="5" t="s">
        <v>1019</v>
      </c>
      <c r="B117" s="5"/>
      <c r="C117" s="5"/>
      <c r="D117" s="5"/>
      <c r="E117" s="5"/>
      <c r="F117" s="6">
        <v>24</v>
      </c>
      <c r="G117" s="6">
        <v>66</v>
      </c>
    </row>
    <row r="118" spans="1:7">
      <c r="A118" s="5"/>
      <c r="B118" s="5"/>
      <c r="C118" s="5"/>
      <c r="D118" s="5"/>
      <c r="E118" s="5"/>
      <c r="F118" s="5"/>
      <c r="G118" s="6"/>
    </row>
    <row r="119" spans="1:7">
      <c r="G119" s="304"/>
    </row>
    <row r="120" spans="1:7">
      <c r="G120" s="304"/>
    </row>
  </sheetData>
  <pageMargins left="1.1399999999999999" right="0.7" top="1.06" bottom="0.5" header="0.39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liability-sch FINAL</vt:lpstr>
      <vt:lpstr>assets-sch FINAL</vt:lpstr>
      <vt:lpstr>bs final</vt:lpstr>
      <vt:lpstr>INDEX FINAL</vt:lpstr>
      <vt:lpstr>'liability-sch FINAL'!Print_Area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2012-01-09T09:15:26Z</cp:lastPrinted>
  <dcterms:created xsi:type="dcterms:W3CDTF">2005-08-01T06:02:05Z</dcterms:created>
  <dcterms:modified xsi:type="dcterms:W3CDTF">2013-01-14T10:20:21Z</dcterms:modified>
</cp:coreProperties>
</file>